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ropbox\Process Ecology (ALL)\Emissions Management\Enerplus\"/>
    </mc:Choice>
  </mc:AlternateContent>
  <bookViews>
    <workbookView xWindow="0" yWindow="0" windowWidth="8490" windowHeight="3195"/>
  </bookViews>
  <sheets>
    <sheet name="Disclaimer" sheetId="9" r:id="rId1"/>
    <sheet name="User Guide" sheetId="4" r:id="rId2"/>
    <sheet name="Glycol (TEG) Rate Optimization" sheetId="6" r:id="rId3"/>
    <sheet name="Lookup Tables" sheetId="7" r:id="rId4"/>
    <sheet name="WaterContentCalculation" sheetId="8" state="hidden" r:id="rId5"/>
  </sheets>
  <externalReferences>
    <externalReference r:id="rId6"/>
  </externalReferences>
  <definedNames>
    <definedName name="Absorber_Pressure">#REF!</definedName>
    <definedName name="Gas_Flow_Rate">#REF!</definedName>
    <definedName name="Gas_Price">#REF!</definedName>
    <definedName name="GasPrice">#REF!</definedName>
    <definedName name="Glycol_Circ_Rate">#REF!</definedName>
    <definedName name="_xlnm.Print_Area" localSheetId="2">'Glycol (TEG) Rate Optimization'!$A$1:$E$30</definedName>
    <definedName name="_xlnm.Print_Area" localSheetId="3">'Lookup Tables'!$A$1:$K$26</definedName>
    <definedName name="PumpModel">#REF!</definedName>
    <definedName name="Pumpspeed">#REF!</definedName>
    <definedName name="teg_to_water_ratio">'[1]Optimal Values'!$D$2:$D$4</definedName>
    <definedName name="Temp">#REF!</definedName>
    <definedName name="Water">#REF!</definedName>
    <definedName name="Water_Content">#REF!</definedName>
    <definedName name="YESorNO">'[1]Operator Input'!$D$2:$D$3</definedName>
  </definedNames>
  <calcPr calcId="152511"/>
</workbook>
</file>

<file path=xl/calcChain.xml><?xml version="1.0" encoding="utf-8"?>
<calcChain xmlns="http://schemas.openxmlformats.org/spreadsheetml/2006/main">
  <c r="C10" i="8" l="1"/>
  <c r="C20" i="8" s="1"/>
  <c r="C9" i="8"/>
  <c r="C16" i="8" s="1"/>
  <c r="C8" i="8"/>
  <c r="C15" i="8" s="1"/>
  <c r="C17" i="8" l="1"/>
  <c r="C18" i="8" s="1"/>
  <c r="C14" i="8"/>
  <c r="C22" i="8"/>
  <c r="C19" i="8"/>
  <c r="C23" i="8"/>
  <c r="C21" i="8" l="1"/>
  <c r="C24" i="8" s="1"/>
  <c r="C7" i="6" s="1"/>
  <c r="C9" i="6" s="1"/>
  <c r="C5" i="8" l="1"/>
  <c r="E17" i="6"/>
  <c r="D17" i="6"/>
  <c r="C17" i="6"/>
  <c r="D18" i="6" l="1"/>
  <c r="E18" i="6"/>
  <c r="C18" i="6"/>
  <c r="E15" i="6"/>
  <c r="D15" i="6"/>
  <c r="D16" i="6" s="1"/>
  <c r="K2" i="6"/>
  <c r="K4" i="6"/>
  <c r="C15" i="6"/>
  <c r="C20" i="6" s="1"/>
  <c r="E20" i="6"/>
  <c r="D20" i="6"/>
  <c r="E22" i="6" l="1"/>
  <c r="E16" i="6"/>
  <c r="C16" i="6"/>
  <c r="C22" i="6"/>
  <c r="E21" i="6"/>
  <c r="E23" i="6" s="1"/>
  <c r="D21" i="6"/>
  <c r="D22" i="6"/>
  <c r="C21" i="6"/>
  <c r="E27" i="6" l="1"/>
  <c r="E28" i="6" s="1"/>
  <c r="D27" i="6"/>
  <c r="D28" i="6" s="1"/>
  <c r="C23" i="6"/>
  <c r="D23" i="6"/>
  <c r="K3" i="6"/>
  <c r="E1" i="6"/>
  <c r="E24" i="6" l="1"/>
  <c r="D24" i="6"/>
</calcChain>
</file>

<file path=xl/comments1.xml><?xml version="1.0" encoding="utf-8"?>
<comments xmlns="http://schemas.openxmlformats.org/spreadsheetml/2006/main">
  <authors>
    <author>michael</author>
    <author>James Holoboff</author>
  </authors>
  <commentList>
    <comment ref="A14" authorId="0" shapeId="0">
      <text>
        <r>
          <rPr>
            <sz val="9"/>
            <color indexed="81"/>
            <rFont val="Tahoma"/>
            <family val="2"/>
          </rPr>
          <t>No restriction on input, but text turns red when outside of manufacturer recommended range.</t>
        </r>
      </text>
    </comment>
    <comment ref="A16" authorId="1" shapeId="0">
      <text>
        <r>
          <rPr>
            <sz val="9"/>
            <color indexed="81"/>
            <rFont val="Tahoma"/>
            <family val="2"/>
          </rPr>
          <t>Calculated - will be red when above 3.0 and blue when below 3.0.</t>
        </r>
      </text>
    </comment>
    <comment ref="A29" authorId="1" shapeId="0">
      <text>
        <r>
          <rPr>
            <sz val="9"/>
            <color indexed="81"/>
            <rFont val="Tahoma"/>
            <family val="2"/>
          </rPr>
          <t>This section is available for the user to add comments and recommendations.</t>
        </r>
      </text>
    </comment>
  </commentList>
</comments>
</file>

<file path=xl/comments2.xml><?xml version="1.0" encoding="utf-8"?>
<comments xmlns="http://schemas.openxmlformats.org/spreadsheetml/2006/main">
  <authors>
    <author>michael</author>
  </authors>
  <commentList>
    <comment ref="C3" authorId="0" shapeId="0">
      <text>
        <r>
          <rPr>
            <sz val="9"/>
            <color indexed="81"/>
            <rFont val="Tahoma"/>
            <family val="2"/>
          </rPr>
          <t>A per Table 1 KM PB0004 July 2011</t>
        </r>
      </text>
    </comment>
    <comment ref="D3" authorId="0" shapeId="0">
      <text>
        <r>
          <rPr>
            <sz val="9"/>
            <color indexed="81"/>
            <rFont val="Tahoma"/>
            <family val="2"/>
          </rPr>
          <t>As per Table 1 KM PB0004 July 2011</t>
        </r>
      </text>
    </comment>
    <comment ref="E3" authorId="0" shapeId="0">
      <text>
        <r>
          <rPr>
            <sz val="9"/>
            <color indexed="81"/>
            <rFont val="Tahoma"/>
            <family val="2"/>
          </rPr>
          <t>As per Table 4 KM PB0004 July 2011</t>
        </r>
      </text>
    </comment>
    <comment ref="H3" authorId="0" shapeId="0">
      <text>
        <r>
          <rPr>
            <sz val="9"/>
            <color indexed="81"/>
            <rFont val="Tahoma"/>
            <family val="2"/>
          </rPr>
          <t>As per Table 10, KM PB0004, July 2011</t>
        </r>
      </text>
    </comment>
    <comment ref="K3" authorId="0" shapeId="0">
      <text>
        <r>
          <rPr>
            <sz val="9"/>
            <color indexed="81"/>
            <rFont val="Tahoma"/>
            <family val="2"/>
          </rPr>
          <t>As per Table 11, KM PB0004, July 2011</t>
        </r>
      </text>
    </comment>
  </commentList>
</comments>
</file>

<file path=xl/sharedStrings.xml><?xml version="1.0" encoding="utf-8"?>
<sst xmlns="http://schemas.openxmlformats.org/spreadsheetml/2006/main" count="168" uniqueCount="153">
  <si>
    <t>SPM</t>
  </si>
  <si>
    <t>USGPM</t>
  </si>
  <si>
    <t>Pump Model</t>
  </si>
  <si>
    <t>Glycol Circ. Rate</t>
  </si>
  <si>
    <t>Units</t>
  </si>
  <si>
    <t>Current</t>
  </si>
  <si>
    <t>Option 1</t>
  </si>
  <si>
    <t>Option 2</t>
  </si>
  <si>
    <t>kPa</t>
  </si>
  <si>
    <t>psi</t>
  </si>
  <si>
    <t>°C</t>
  </si>
  <si>
    <t>°F</t>
  </si>
  <si>
    <t>e3m3/d</t>
  </si>
  <si>
    <t>lb/mmscf</t>
  </si>
  <si>
    <t>Gas Flow Rate</t>
  </si>
  <si>
    <t>mmscf/d</t>
  </si>
  <si>
    <t>Pressure</t>
  </si>
  <si>
    <t>Temp</t>
  </si>
  <si>
    <t>kPag</t>
  </si>
  <si>
    <t>Cuft/gal</t>
  </si>
  <si>
    <t>Savings</t>
  </si>
  <si>
    <t>$/yr</t>
  </si>
  <si>
    <t>n/a</t>
  </si>
  <si>
    <t>Cost to Implement</t>
  </si>
  <si>
    <t>mscf/d</t>
  </si>
  <si>
    <t>Simple Payout</t>
  </si>
  <si>
    <t>months</t>
  </si>
  <si>
    <t>Project LSD:</t>
  </si>
  <si>
    <t>Gal Glycol/lb H2O removed</t>
  </si>
  <si>
    <t>Date:</t>
  </si>
  <si>
    <t>Gal/Stroke</t>
  </si>
  <si>
    <t>4015PV</t>
  </si>
  <si>
    <t>9015PV</t>
  </si>
  <si>
    <t>PV stands for 'pressure, volume'</t>
  </si>
  <si>
    <t>SC stands for 'small cylinder'</t>
  </si>
  <si>
    <t>1715PV</t>
  </si>
  <si>
    <t>1720PV</t>
  </si>
  <si>
    <t>4020PV</t>
  </si>
  <si>
    <t>9020PV</t>
  </si>
  <si>
    <t>21015PV</t>
  </si>
  <si>
    <t>21020PV</t>
  </si>
  <si>
    <t>45015PV</t>
  </si>
  <si>
    <t>45020PV</t>
  </si>
  <si>
    <t>2015SC</t>
  </si>
  <si>
    <t>5015SC</t>
  </si>
  <si>
    <t>10015SC</t>
  </si>
  <si>
    <t>20015SC</t>
  </si>
  <si>
    <t>Gas Consumption PV</t>
  </si>
  <si>
    <t>Gas Consumption SC</t>
  </si>
  <si>
    <t>Gas used for Energy Exchange</t>
  </si>
  <si>
    <t>Kimray Pump Model</t>
  </si>
  <si>
    <t>Kimray Pump Speed</t>
  </si>
  <si>
    <t>Gas Price</t>
  </si>
  <si>
    <t>SPM
Min</t>
  </si>
  <si>
    <t>SPM
Max</t>
  </si>
  <si>
    <t>Pressure
(psi)</t>
  </si>
  <si>
    <t>Gas absorbed by glycol</t>
  </si>
  <si>
    <t xml:space="preserve">Site Operating Conditions </t>
  </si>
  <si>
    <t>FG used to regen glycol</t>
  </si>
  <si>
    <t>Max Gas Flow Rate at Max Pump Rate</t>
  </si>
  <si>
    <t>GHG Potentially emitted</t>
  </si>
  <si>
    <t>Emissions</t>
  </si>
  <si>
    <t>Economics</t>
  </si>
  <si>
    <t>Recommendation</t>
  </si>
  <si>
    <t>Model Selection/Comparison</t>
  </si>
  <si>
    <t>Conversion Calculator</t>
  </si>
  <si>
    <t>$</t>
  </si>
  <si>
    <t>tCO2eq/yr</t>
  </si>
  <si>
    <t>Target Circulation Rate</t>
  </si>
  <si>
    <r>
      <t>e</t>
    </r>
    <r>
      <rPr>
        <vertAlign val="superscript"/>
        <sz val="11"/>
        <color theme="1"/>
        <rFont val="Calibri"/>
        <family val="2"/>
        <scheme val="minor"/>
      </rPr>
      <t>3</t>
    </r>
    <r>
      <rPr>
        <sz val="11"/>
        <color theme="1"/>
        <rFont val="Calibri"/>
        <family val="2"/>
        <scheme val="minor"/>
      </rPr>
      <t>m</t>
    </r>
    <r>
      <rPr>
        <vertAlign val="superscript"/>
        <sz val="11"/>
        <color theme="1"/>
        <rFont val="Calibri"/>
        <family val="2"/>
        <scheme val="minor"/>
      </rPr>
      <t>3</t>
    </r>
    <r>
      <rPr>
        <sz val="11"/>
        <color theme="1"/>
        <rFont val="Calibri"/>
        <family val="2"/>
        <scheme val="minor"/>
      </rPr>
      <t>/d</t>
    </r>
  </si>
  <si>
    <t>$CAD/GJ</t>
  </si>
  <si>
    <t>Input cells are light yellow with blue text.</t>
  </si>
  <si>
    <t>Calculated cells are white with black text.</t>
  </si>
  <si>
    <r>
      <t>1.</t>
    </r>
    <r>
      <rPr>
        <sz val="7"/>
        <color theme="1"/>
        <rFont val="Times New Roman"/>
        <family val="1"/>
      </rPr>
      <t xml:space="preserve">      </t>
    </r>
    <r>
      <rPr>
        <sz val="11"/>
        <color theme="1"/>
        <rFont val="Calibri"/>
        <family val="2"/>
        <scheme val="minor"/>
      </rPr>
      <t>The contactor operating pressure, in kPag. (Cell C3)</t>
    </r>
  </si>
  <si>
    <t>Warnings</t>
  </si>
  <si>
    <t>Assumptions used in the Optimization tool</t>
  </si>
  <si>
    <t>References</t>
  </si>
  <si>
    <t>EPA Natural Gas Star "Replacing Glycol Dehydrators with Desiccant Dehydrators", pg 7.</t>
  </si>
  <si>
    <t xml:space="preserve">Pumps used to be tested to 1500 psig, now they are tested to 2000 psig. </t>
  </si>
  <si>
    <t>There is essentially no difference between a 4015 PV and a 4020 PV except for the MOP it is rated for.</t>
  </si>
  <si>
    <t xml:space="preserve">*Note: Model Name XXYYZZ  where XX indicates max gallons per hour, </t>
  </si>
  <si>
    <t xml:space="preserve">or Small Cylinder. (eg. Kimray 4020PV is max 40 gallons per hour </t>
  </si>
  <si>
    <t xml:space="preserve">* an exception to the rule is the 1715 PV / 1720 PV, the first two numbers  </t>
  </si>
  <si>
    <t>indicate the 0.017 gallons per stroke. The 1715/1720 is almost identical to the 4015/4020.</t>
  </si>
  <si>
    <t>Gal/lb</t>
  </si>
  <si>
    <t>GHG Potential emission savings</t>
  </si>
  <si>
    <t>Stripping gas is not accounted for in the emission calculations; it is recommended to be confirmed separately by Operations.</t>
  </si>
  <si>
    <t>Provide additional information such as:</t>
  </si>
  <si>
    <t>Disclaimer</t>
  </si>
  <si>
    <t>Gas Processors Suppliers Association Engineering Data Book, Section 20 (Dehydration).</t>
  </si>
  <si>
    <t>Pump Range</t>
  </si>
  <si>
    <t>This Optimization tool will allow for further comparison and selection regarding a potential rate or pump reduction project. The user may select alternate pump models and stroke rates to achieve the desired 3 gallons per pound water removed circulation rate.</t>
  </si>
  <si>
    <t>The Glycol rate optimization tool is designed to help determine the optimal glycol circulation rate in TEG Dehydrators with trayed contactor towers using Kimray energy exchange pumps to circulate glycol. The tool may be applied in other cases, but the results should be further vetted by an experienced person to determine suitability of the results. It is possible the tool will suggest an optimal circulation rate that is below the capabilities of glycol pumps on the market, or are too low for reliable operation of the dehydration unit in question. In all cases, results should be reviewed by an experienced person for suitability before being implemented.</t>
  </si>
  <si>
    <t>Kimray Glycol Pumps Models PV, SC Product Bulletin, PB0004, July 2011.</t>
  </si>
  <si>
    <t>EPA Natural Gas Star Lessons Learned "Optimize Glycol Circulation and Install Flash Tank Separators in Glycol Dehydrators", pg 5,6.</t>
  </si>
  <si>
    <t>Overview</t>
  </si>
  <si>
    <t>The Recommendation section is available for the user to add their own comments and recommendations.</t>
  </si>
  <si>
    <t>Contactor Pressure</t>
  </si>
  <si>
    <t>Normal Gas Flow Rate</t>
  </si>
  <si>
    <t xml:space="preserve">at YY maximum operating pressure, ZZ indicates Pressure/Volume, </t>
  </si>
  <si>
    <t>with a maximum operating pressure of 2000 psig and is a pressure volume pump).</t>
  </si>
  <si>
    <t>Some PVs can be converted to SCs see Kimray PB0004 for details.</t>
  </si>
  <si>
    <t>Energy Exchange Pump Operating Parameters</t>
  </si>
  <si>
    <r>
      <t xml:space="preserve">This tab contains the Calculation of Water Content. </t>
    </r>
    <r>
      <rPr>
        <b/>
        <sz val="11"/>
        <color rgb="FFFF0000"/>
        <rFont val="Calibri"/>
        <family val="2"/>
        <scheme val="minor"/>
      </rPr>
      <t>Tab to be locked and hidden.</t>
    </r>
  </si>
  <si>
    <t xml:space="preserve"> (Reference: Water Content of Gas [EXCEL] with Process Ecology, unlesss noted below.)</t>
  </si>
  <si>
    <t>Result</t>
  </si>
  <si>
    <t>Water content (lb/MMSCF):</t>
  </si>
  <si>
    <t>Input from other tabs</t>
  </si>
  <si>
    <t>Temperature (C):</t>
  </si>
  <si>
    <t>Pressure (kPag):</t>
  </si>
  <si>
    <t>Gas gravity:</t>
  </si>
  <si>
    <t>Calculations are as follows</t>
  </si>
  <si>
    <t>Temperature (F):</t>
  </si>
  <si>
    <t>Temperature (K):</t>
  </si>
  <si>
    <t>Pressure (psia):</t>
  </si>
  <si>
    <t>T factor:</t>
  </si>
  <si>
    <t>Water vapor pressure, psia:</t>
  </si>
  <si>
    <t>Compressibility factor z:</t>
  </si>
  <si>
    <t xml:space="preserve"> (Simple equation per CAPP's Guide on Estimation of Volumes from Upstream)</t>
  </si>
  <si>
    <t>MW:</t>
  </si>
  <si>
    <t>Correlation coeff A:</t>
  </si>
  <si>
    <t>Correlation coeff Log B:</t>
  </si>
  <si>
    <t>Gas gravity correction:</t>
  </si>
  <si>
    <t>Contactor Temperature</t>
  </si>
  <si>
    <t>C</t>
  </si>
  <si>
    <t>Gas Gravity</t>
  </si>
  <si>
    <t>Water Content (Calculated)</t>
  </si>
  <si>
    <t>2.    The contactor operating temperature, in C. (Cell C4)</t>
  </si>
  <si>
    <t>3.    The gas gravity. (Cell C5)</t>
  </si>
  <si>
    <t>To use the Glycol rate Optimization tool, a minimum of 4 pieces of information are required:</t>
  </si>
  <si>
    <t>If the pump stroke rate entered (cells C14, D14, E14) is above or below the manufacturer recommended range, the text in that cell will turn red to indicate it is out of range.</t>
  </si>
  <si>
    <t>If the gallons glycol per pound water removed (cells C16, D16, E16) are above or below the desired range of 3 gallons per pound, the cell shading will turn red or blue respectively.</t>
  </si>
  <si>
    <t>The gas price (cell C8) is converted to mcf in the economics section assuming a heat content of 1.055 GJ per mcf.</t>
  </si>
  <si>
    <t>The target glycol circulation rate (cell C9) is based on the industry rule of thumb to circulate 3 gallons of glycol per pound water removed. Acceptable ranges may be as low as 2 gallons per pound or as high as 5 gallons per pound.</t>
  </si>
  <si>
    <t>The glycol circulation rate (cell C15, D15, E15) is calculated based on manufacturer stated values of gallons per stroke, as listed in table 4 of the Kimray product bulletin PB0004.</t>
  </si>
  <si>
    <t>The ratio of gallons glycol circulated per pound water removed (cells C16,  D16, E16) is calculated assuming all but 4 lbs of water per mmscf of saturated gas is removed.</t>
  </si>
  <si>
    <t>The pump range (cells C17, D17, E17) is based of manufacturer stated values as listed in table 1 of the Kimray Glycol Pump product bulletin PB0004.</t>
  </si>
  <si>
    <t>The max gas flow rate at max pump rate (cells C18, D18, E18) is calculated assuming the water gas content remains the same and the selected pump is stroking at it’s maximum rate as listed by the manufacturer. It is meant to help determine pump range suitability for a site that may have large fluctuations in production during the year.</t>
  </si>
  <si>
    <t>The gas used for energy exchange (cells C20, D20, E20) is calculated based on manufacturer stated values as per table 10 and 11 of the Kimray Glycol Pump product bulletin PB0004.</t>
  </si>
  <si>
    <t>The gas absorbed by the glycol (cells C21, D21, E21) assumes 1 standard cubic foot of gas for every gallon of glycol circulated. This is an industry rule of thumb with a reference made in EPA Natural Gas Star Lessons Learned "Optimize Glycol Circulation and Install Flash Tank Separators in Glycol Dehydrators", pg. 5. This is an accepted but approximate value, as actual gas absorbed depends on parameters such as pressure and temperature.</t>
  </si>
  <si>
    <t>The fuel gas used to regenerate glycol (cells C22, D22, E22) assumes 2000 btu/gallon are required in total heat duty to regenerate the rich glycol to lean. It is conservative to allow for fouling or inefficiencies due to an oversized burner as the  value of 1124 btu/gallon is stated in EPA Natural Gas Star "Replacing Glycol Dehydrators with Desiccant Dehydrators", pg 7. Section 20 of the GPSA Manual proposes a factor of 1500 btu/gallon. The actual amount of fuel gas required also depends on factors such as pre-heating of glycol to the regenerator.</t>
  </si>
  <si>
    <t>Greenhouse gases potentially emitted (cells C23, D23, E23) calculations are approximations only and will not suffice to apply for CO2 credits. Furthermore, the calculation is the summation of 3 emission sources, 1. The gas used to drive the pump which is assumed to be vented; 2. The gas absorbed by the glycol, which is also assumed to be vented; 3. The gas used to regenerate the glycol in the reboiler, which is burned. The GHG calculation also assumes the entire gas volume is comprised of methane; this value will be different based on the gas composition of the site being evaluated and should only be used as a starting point for further evaluation. It also assumes that all gas absorbed in the contactor is methane – other hydrocarbons are in fact absorbed, but methane represents the largest volume.</t>
  </si>
  <si>
    <t>01-02-034-34W6M</t>
  </si>
  <si>
    <t>Based on the evaluation above, there is an opportunity to reduce the glycol pump by 1 or 2 sizes. The option with the most flexibility is changing to a 9020PV as this gives room for throughput increases if an adjacent facility goes down and There will also be associated benzene emission reductions.This will optimize the glycol flow rate at the facility, reducing greenhouse gas emissions in half.</t>
  </si>
  <si>
    <r>
      <t>4.</t>
    </r>
    <r>
      <rPr>
        <sz val="7"/>
        <color theme="1"/>
        <rFont val="Times New Roman"/>
        <family val="1"/>
      </rPr>
      <t xml:space="preserve">      </t>
    </r>
    <r>
      <rPr>
        <sz val="11"/>
        <color theme="1"/>
        <rFont val="Calibri"/>
        <family val="2"/>
        <scheme val="minor"/>
      </rPr>
      <t>The normal wet gas flow rate through the contactor, in e3m3/day. (Cell C6)</t>
    </r>
  </si>
  <si>
    <t>Then a Water Content is calculated in cell C7, along with a target circulation rate in cell C9.</t>
  </si>
  <si>
    <r>
      <t>5.</t>
    </r>
    <r>
      <rPr>
        <sz val="7"/>
        <color theme="1"/>
        <rFont val="Times New Roman"/>
        <family val="1"/>
      </rPr>
      <t xml:space="preserve">      </t>
    </r>
    <r>
      <rPr>
        <sz val="11"/>
        <color theme="1"/>
        <rFont val="Calibri"/>
        <family val="2"/>
        <scheme val="minor"/>
      </rPr>
      <t>Gas price, in $CAD/GJ (i.e. AECO C Spot price, or Company Price deck) (Cell C8)</t>
    </r>
  </si>
  <si>
    <r>
      <t>6.</t>
    </r>
    <r>
      <rPr>
        <sz val="7"/>
        <color theme="1"/>
        <rFont val="Times New Roman"/>
        <family val="1"/>
      </rPr>
      <t xml:space="preserve">      </t>
    </r>
    <r>
      <rPr>
        <sz val="11"/>
        <color theme="1"/>
        <rFont val="Calibri"/>
        <family val="2"/>
        <scheme val="minor"/>
      </rPr>
      <t>Current Kimray Pump model, as selected from the drop down list. (Cell C13)</t>
    </r>
  </si>
  <si>
    <r>
      <t>7.</t>
    </r>
    <r>
      <rPr>
        <sz val="7"/>
        <color theme="1"/>
        <rFont val="Times New Roman"/>
        <family val="1"/>
      </rPr>
      <t xml:space="preserve">      </t>
    </r>
    <r>
      <rPr>
        <sz val="11"/>
        <color theme="1"/>
        <rFont val="Calibri"/>
        <family val="2"/>
        <scheme val="minor"/>
      </rPr>
      <t>Current Kimray Pump Speed, in strokes per minute. (Cell C14)</t>
    </r>
  </si>
  <si>
    <r>
      <t>8.</t>
    </r>
    <r>
      <rPr>
        <sz val="7"/>
        <color theme="1"/>
        <rFont val="Times New Roman"/>
        <family val="1"/>
      </rPr>
      <t xml:space="preserve">      </t>
    </r>
    <r>
      <rPr>
        <sz val="11"/>
        <color theme="1"/>
        <rFont val="Calibri"/>
        <family val="2"/>
        <scheme val="minor"/>
      </rPr>
      <t>Estimated cost to implement a pump reduction, in $CAD. (Cells D26, and E26)</t>
    </r>
  </si>
  <si>
    <t>9.   Proposed Kimray pump model/speed (Cells D13-E14)</t>
  </si>
  <si>
    <t>PTAC Petroleum Technology Alliance Canada, Enerplus Corporation and Process Ecology Inc. do not warrant or make any representations or claims as to the validity, accuracy, currency, timeliness, completeness or otherwise of the information contained in this spreadsheet, nor shall they be liable or responsible for any claim or damage, direct, indirect, special, consequential or otherwise arising out of the interpretation, use or reliance upon, authorized or unauthorized, of such information.</t>
  </si>
  <si>
    <t>The material and information in this spreadsheet are being made available only under the conditions set out herein. No material from this spreadsheet may be copied, reproduced, republished, uploaded, posted, transmitted or distributed in any way, unless otherwise indicated on this spreadsheet, except for personal or internal company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</si>
</sst>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_);_(&quot;$&quot;* \(#,##0\);_(&quot;$&quot;* &quot;-&quot;_);_(@_)"/>
    <numFmt numFmtId="165" formatCode="0.0"/>
  </numFmts>
  <fonts count="12" x14ac:knownFonts="1">
    <font>
      <sz val="11"/>
      <color theme="1"/>
      <name val="Calibri"/>
      <family val="2"/>
      <scheme val="minor"/>
    </font>
    <font>
      <b/>
      <sz val="11"/>
      <color theme="1"/>
      <name val="Calibri"/>
      <family val="2"/>
      <scheme val="minor"/>
    </font>
    <font>
      <sz val="11"/>
      <color rgb="FF0000FF"/>
      <name val="Calibri"/>
      <family val="2"/>
      <scheme val="minor"/>
    </font>
    <font>
      <sz val="11"/>
      <name val="Calibri"/>
      <family val="2"/>
      <scheme val="minor"/>
    </font>
    <font>
      <b/>
      <sz val="11"/>
      <name val="Calibri"/>
      <family val="2"/>
      <scheme val="minor"/>
    </font>
    <font>
      <sz val="9"/>
      <color indexed="81"/>
      <name val="Tahoma"/>
      <family val="2"/>
    </font>
    <font>
      <b/>
      <sz val="11"/>
      <color theme="3"/>
      <name val="Calibri"/>
      <family val="2"/>
      <scheme val="minor"/>
    </font>
    <font>
      <vertAlign val="superscript"/>
      <sz val="11"/>
      <color theme="1"/>
      <name val="Calibri"/>
      <family val="2"/>
      <scheme val="minor"/>
    </font>
    <font>
      <sz val="7"/>
      <color theme="1"/>
      <name val="Times New Roman"/>
      <family val="1"/>
    </font>
    <font>
      <b/>
      <u/>
      <sz val="11"/>
      <color theme="1"/>
      <name val="Calibri"/>
      <family val="2"/>
      <scheme val="minor"/>
    </font>
    <font>
      <b/>
      <sz val="11"/>
      <color rgb="FFFF0000"/>
      <name val="Calibri"/>
      <family val="2"/>
      <scheme val="minor"/>
    </font>
    <font>
      <b/>
      <sz val="11"/>
      <color rgb="FF00000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6" fillId="0" borderId="0" applyNumberFormat="0" applyFill="0" applyBorder="0" applyAlignment="0" applyProtection="0"/>
  </cellStyleXfs>
  <cellXfs count="105">
    <xf numFmtId="0" fontId="0" fillId="0" borderId="0" xfId="0"/>
    <xf numFmtId="0" fontId="0" fillId="0" borderId="1" xfId="0" applyFill="1" applyBorder="1"/>
    <xf numFmtId="0" fontId="0" fillId="0" borderId="2" xfId="0" applyBorder="1"/>
    <xf numFmtId="0" fontId="0" fillId="0" borderId="0" xfId="0"/>
    <xf numFmtId="0" fontId="0" fillId="0" borderId="1" xfId="0" applyBorder="1"/>
    <xf numFmtId="2" fontId="0" fillId="0" borderId="1" xfId="0" applyNumberFormat="1" applyBorder="1"/>
    <xf numFmtId="0" fontId="0" fillId="0" borderId="0" xfId="0" applyAlignment="1">
      <alignment wrapText="1"/>
    </xf>
    <xf numFmtId="0" fontId="1" fillId="0" borderId="1" xfId="0" applyFont="1" applyFill="1" applyBorder="1" applyAlignment="1">
      <alignment vertical="top"/>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0" fillId="0" borderId="0" xfId="0" applyFill="1"/>
    <xf numFmtId="0" fontId="0" fillId="3" borderId="4" xfId="0" applyFill="1" applyBorder="1"/>
    <xf numFmtId="0" fontId="0" fillId="3" borderId="2" xfId="0" applyFill="1" applyBorder="1"/>
    <xf numFmtId="165" fontId="0" fillId="0" borderId="1" xfId="0" applyNumberFormat="1" applyBorder="1"/>
    <xf numFmtId="0" fontId="4" fillId="3" borderId="3" xfId="1" applyFont="1" applyFill="1" applyBorder="1"/>
    <xf numFmtId="2" fontId="3" fillId="0" borderId="1" xfId="0" applyNumberFormat="1" applyFont="1" applyFill="1" applyBorder="1"/>
    <xf numFmtId="2" fontId="0" fillId="0" borderId="1" xfId="0" applyNumberFormat="1" applyFill="1" applyBorder="1"/>
    <xf numFmtId="1" fontId="0" fillId="0" borderId="1" xfId="0" applyNumberFormat="1" applyFill="1" applyBorder="1"/>
    <xf numFmtId="164" fontId="0" fillId="0" borderId="1" xfId="0" applyNumberFormat="1" applyFill="1" applyBorder="1"/>
    <xf numFmtId="0" fontId="0" fillId="0" borderId="1" xfId="0" applyBorder="1" applyAlignment="1">
      <alignment horizontal="center"/>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vertical="center" wrapText="1"/>
    </xf>
    <xf numFmtId="0" fontId="2" fillId="4" borderId="0" xfId="0" applyFont="1" applyFill="1" applyAlignment="1">
      <alignment vertical="center" wrapText="1"/>
    </xf>
    <xf numFmtId="0" fontId="0" fillId="0" borderId="0" xfId="0" applyFont="1" applyAlignment="1">
      <alignment vertical="center" wrapText="1"/>
    </xf>
    <xf numFmtId="0" fontId="0" fillId="0" borderId="5" xfId="0" applyBorder="1"/>
    <xf numFmtId="0" fontId="0" fillId="0" borderId="5" xfId="0" applyBorder="1" applyAlignment="1">
      <alignment horizontal="right"/>
    </xf>
    <xf numFmtId="0" fontId="4" fillId="2" borderId="6" xfId="1" applyFont="1" applyFill="1" applyBorder="1"/>
    <xf numFmtId="0" fontId="3" fillId="2" borderId="7" xfId="0" applyFont="1" applyFill="1" applyBorder="1" applyAlignment="1"/>
    <xf numFmtId="0" fontId="3" fillId="2" borderId="7" xfId="0" applyFont="1" applyFill="1" applyBorder="1" applyAlignment="1">
      <alignment horizontal="right"/>
    </xf>
    <xf numFmtId="2" fontId="3" fillId="2" borderId="7" xfId="0" applyNumberFormat="1" applyFont="1" applyFill="1" applyBorder="1" applyAlignment="1">
      <alignment horizontal="left"/>
    </xf>
    <xf numFmtId="0" fontId="3" fillId="2" borderId="8" xfId="0" applyFont="1" applyFill="1" applyBorder="1"/>
    <xf numFmtId="0" fontId="0" fillId="0" borderId="9" xfId="0" applyBorder="1"/>
    <xf numFmtId="1" fontId="0" fillId="0" borderId="10" xfId="0" applyNumberFormat="1" applyBorder="1"/>
    <xf numFmtId="0" fontId="0" fillId="0" borderId="11" xfId="0" applyBorder="1"/>
    <xf numFmtId="0" fontId="0" fillId="0" borderId="12" xfId="0" applyBorder="1"/>
    <xf numFmtId="2" fontId="0" fillId="0" borderId="13" xfId="0" applyNumberFormat="1" applyBorder="1"/>
    <xf numFmtId="2" fontId="0" fillId="0" borderId="14" xfId="0" applyNumberFormat="1" applyFill="1" applyBorder="1"/>
    <xf numFmtId="0" fontId="0" fillId="0" borderId="14" xfId="0" applyBorder="1"/>
    <xf numFmtId="0" fontId="0" fillId="0" borderId="15" xfId="0" applyBorder="1"/>
    <xf numFmtId="0" fontId="0" fillId="0" borderId="16" xfId="0" applyBorder="1"/>
    <xf numFmtId="0" fontId="0" fillId="0" borderId="18" xfId="0" applyFont="1" applyBorder="1"/>
    <xf numFmtId="2" fontId="3" fillId="0" borderId="19" xfId="0" applyNumberFormat="1" applyFont="1" applyFill="1" applyBorder="1"/>
    <xf numFmtId="165" fontId="0" fillId="0" borderId="19" xfId="0" applyNumberFormat="1" applyBorder="1"/>
    <xf numFmtId="2" fontId="0" fillId="0" borderId="19" xfId="0" applyNumberFormat="1" applyFill="1" applyBorder="1"/>
    <xf numFmtId="0" fontId="0" fillId="0" borderId="20" xfId="0" applyFont="1" applyBorder="1"/>
    <xf numFmtId="0" fontId="0" fillId="0" borderId="14" xfId="0" applyBorder="1" applyAlignment="1">
      <alignment horizontal="center"/>
    </xf>
    <xf numFmtId="1" fontId="0" fillId="0" borderId="14" xfId="0" applyNumberFormat="1" applyFill="1" applyBorder="1"/>
    <xf numFmtId="1" fontId="0" fillId="0" borderId="21" xfId="0" applyNumberFormat="1" applyFill="1" applyBorder="1"/>
    <xf numFmtId="0" fontId="3" fillId="2" borderId="7" xfId="0" applyFont="1" applyFill="1" applyBorder="1" applyAlignment="1">
      <alignment horizontal="center"/>
    </xf>
    <xf numFmtId="0" fontId="3" fillId="2" borderId="7" xfId="0" applyFont="1" applyFill="1" applyBorder="1"/>
    <xf numFmtId="0" fontId="0" fillId="0" borderId="16" xfId="0" applyFont="1" applyBorder="1"/>
    <xf numFmtId="0" fontId="0" fillId="0" borderId="10" xfId="0" applyBorder="1" applyAlignment="1">
      <alignment horizontal="center"/>
    </xf>
    <xf numFmtId="2" fontId="0" fillId="0" borderId="10" xfId="0" applyNumberFormat="1" applyFill="1" applyBorder="1"/>
    <xf numFmtId="2" fontId="0" fillId="0" borderId="17" xfId="0" applyNumberFormat="1" applyFill="1" applyBorder="1"/>
    <xf numFmtId="1" fontId="0" fillId="0" borderId="19" xfId="0" applyNumberFormat="1" applyFill="1" applyBorder="1"/>
    <xf numFmtId="1" fontId="0" fillId="0" borderId="14" xfId="0" applyNumberFormat="1" applyFill="1" applyBorder="1" applyAlignment="1">
      <alignment horizontal="center"/>
    </xf>
    <xf numFmtId="0" fontId="0" fillId="2" borderId="7" xfId="0" applyFill="1" applyBorder="1" applyAlignment="1">
      <alignment horizontal="center"/>
    </xf>
    <xf numFmtId="2" fontId="0" fillId="2" borderId="7" xfId="0" applyNumberFormat="1" applyFill="1" applyBorder="1"/>
    <xf numFmtId="2" fontId="0" fillId="2" borderId="8" xfId="0" applyNumberFormat="1" applyFill="1" applyBorder="1"/>
    <xf numFmtId="0" fontId="0" fillId="0" borderId="18" xfId="0" applyBorder="1"/>
    <xf numFmtId="164" fontId="0" fillId="0" borderId="19" xfId="0" applyNumberFormat="1" applyFill="1" applyBorder="1"/>
    <xf numFmtId="0" fontId="0" fillId="0" borderId="20" xfId="0" applyBorder="1"/>
    <xf numFmtId="0" fontId="1" fillId="0" borderId="10" xfId="0" applyFont="1" applyBorder="1" applyAlignment="1">
      <alignment horizontal="center"/>
    </xf>
    <xf numFmtId="0" fontId="1" fillId="0" borderId="17" xfId="0" applyFont="1" applyBorder="1" applyAlignment="1">
      <alignment horizontal="center"/>
    </xf>
    <xf numFmtId="165" fontId="0" fillId="0" borderId="1" xfId="0" applyNumberFormat="1" applyBorder="1" applyAlignment="1">
      <alignment horizontal="right"/>
    </xf>
    <xf numFmtId="0" fontId="9" fillId="0" borderId="0" xfId="0" applyFont="1" applyAlignment="1">
      <alignment vertical="center" wrapText="1"/>
    </xf>
    <xf numFmtId="0" fontId="0" fillId="0" borderId="10" xfId="0" applyBorder="1"/>
    <xf numFmtId="1" fontId="0" fillId="0" borderId="10" xfId="0" applyNumberFormat="1" applyFill="1" applyBorder="1"/>
    <xf numFmtId="0" fontId="0" fillId="0" borderId="17" xfId="0" applyBorder="1"/>
    <xf numFmtId="0" fontId="0" fillId="0" borderId="19" xfId="0" applyBorder="1"/>
    <xf numFmtId="0" fontId="4" fillId="3" borderId="6" xfId="0" applyFont="1" applyFill="1" applyBorder="1"/>
    <xf numFmtId="0" fontId="0" fillId="3" borderId="7" xfId="0" applyFill="1" applyBorder="1"/>
    <xf numFmtId="0" fontId="0" fillId="3" borderId="8" xfId="0" applyFill="1" applyBorder="1"/>
    <xf numFmtId="0" fontId="2" fillId="4" borderId="1" xfId="0" applyFont="1" applyFill="1" applyBorder="1" applyAlignment="1" applyProtection="1">
      <alignment horizontal="center"/>
      <protection locked="0"/>
    </xf>
    <xf numFmtId="0" fontId="2" fillId="4" borderId="19" xfId="0" applyFont="1" applyFill="1" applyBorder="1" applyAlignment="1" applyProtection="1">
      <alignment horizontal="center"/>
      <protection locked="0"/>
    </xf>
    <xf numFmtId="0" fontId="2" fillId="4" borderId="1" xfId="0" applyFont="1" applyFill="1" applyBorder="1" applyProtection="1">
      <protection locked="0"/>
    </xf>
    <xf numFmtId="0" fontId="2" fillId="4" borderId="19" xfId="0" applyFont="1" applyFill="1" applyBorder="1" applyProtection="1">
      <protection locked="0"/>
    </xf>
    <xf numFmtId="0" fontId="2" fillId="4" borderId="10" xfId="0" applyFont="1" applyFill="1" applyBorder="1" applyProtection="1">
      <protection locked="0"/>
    </xf>
    <xf numFmtId="14" fontId="2" fillId="4" borderId="5" xfId="0" applyNumberFormat="1" applyFont="1" applyFill="1" applyBorder="1" applyProtection="1">
      <protection locked="0"/>
    </xf>
    <xf numFmtId="0" fontId="2" fillId="4" borderId="14" xfId="0" applyFont="1" applyFill="1" applyBorder="1" applyProtection="1">
      <protection locked="0"/>
    </xf>
    <xf numFmtId="0" fontId="2" fillId="4" borderId="17" xfId="0" applyFont="1" applyFill="1" applyBorder="1" applyProtection="1">
      <protection locked="0"/>
    </xf>
    <xf numFmtId="0" fontId="1" fillId="0" borderId="0" xfId="0" applyFont="1"/>
    <xf numFmtId="0" fontId="1" fillId="0" borderId="22" xfId="0" applyFont="1" applyBorder="1" applyAlignment="1">
      <alignment horizontal="center"/>
    </xf>
    <xf numFmtId="0" fontId="1" fillId="0" borderId="1" xfId="0" applyFont="1" applyBorder="1"/>
    <xf numFmtId="2" fontId="0" fillId="5" borderId="1" xfId="0" applyNumberFormat="1" applyFill="1" applyBorder="1"/>
    <xf numFmtId="0" fontId="0" fillId="5" borderId="1" xfId="0" applyFill="1" applyBorder="1"/>
    <xf numFmtId="1" fontId="0" fillId="0" borderId="1" xfId="0" applyNumberFormat="1" applyBorder="1"/>
    <xf numFmtId="0" fontId="4" fillId="2" borderId="23" xfId="1" applyFont="1" applyFill="1" applyBorder="1"/>
    <xf numFmtId="0" fontId="3" fillId="2" borderId="24" xfId="0" applyFont="1" applyFill="1" applyBorder="1" applyAlignment="1">
      <alignment horizontal="right"/>
    </xf>
    <xf numFmtId="2" fontId="3" fillId="2" borderId="24" xfId="0" applyNumberFormat="1" applyFont="1" applyFill="1" applyBorder="1" applyAlignment="1">
      <alignment horizontal="left"/>
    </xf>
    <xf numFmtId="0" fontId="3" fillId="2" borderId="24" xfId="0" applyFont="1" applyFill="1" applyBorder="1" applyAlignment="1"/>
    <xf numFmtId="0" fontId="3" fillId="2" borderId="11" xfId="0" applyFont="1" applyFill="1" applyBorder="1"/>
    <xf numFmtId="0" fontId="0" fillId="0" borderId="0" xfId="0" applyBorder="1"/>
    <xf numFmtId="0" fontId="0" fillId="0" borderId="20" xfId="0" applyFill="1" applyBorder="1"/>
    <xf numFmtId="2" fontId="0" fillId="0" borderId="21" xfId="0" applyNumberFormat="1" applyBorder="1"/>
    <xf numFmtId="165" fontId="3" fillId="0" borderId="1" xfId="0" applyNumberFormat="1" applyFont="1" applyFill="1" applyBorder="1" applyProtection="1"/>
    <xf numFmtId="0" fontId="2" fillId="4" borderId="5" xfId="0" applyFont="1" applyFill="1" applyBorder="1" applyAlignment="1" applyProtection="1">
      <protection locked="0"/>
    </xf>
    <xf numFmtId="0" fontId="0" fillId="0" borderId="5" xfId="0" applyBorder="1" applyAlignment="1" applyProtection="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4" fillId="2" borderId="6" xfId="0" applyFont="1" applyFill="1" applyBorder="1" applyAlignment="1">
      <alignment horizontal="left"/>
    </xf>
    <xf numFmtId="0" fontId="4" fillId="2" borderId="7" xfId="0" applyFont="1" applyFill="1" applyBorder="1" applyAlignment="1">
      <alignment horizontal="left"/>
    </xf>
    <xf numFmtId="0" fontId="11" fillId="0" borderId="0" xfId="0" applyFont="1" applyAlignment="1">
      <alignment horizontal="left" vertical="center" wrapText="1"/>
    </xf>
  </cellXfs>
  <cellStyles count="2">
    <cellStyle name="Heading 4" xfId="1" builtinId="19"/>
    <cellStyle name="Normal" xfId="0" builtinId="0"/>
  </cellStyles>
  <dxfs count="3">
    <dxf>
      <font>
        <color rgb="FFFF0000"/>
      </font>
    </dxf>
    <dxf>
      <font>
        <color rgb="FFFF0000"/>
      </font>
    </dxf>
    <dxf>
      <font>
        <color rgb="FFFF0000"/>
      </font>
      <fill>
        <patternFill patternType="solid">
          <bgColor rgb="FFFFFFCC"/>
        </patternFill>
      </fill>
    </dxf>
  </dxfs>
  <tableStyles count="0" defaultTableStyle="TableStyleMedium2" defaultPivotStyle="PivotStyleLight16"/>
  <colors>
    <mruColors>
      <color rgb="FFFFFFCC"/>
      <color rgb="FF0000FF"/>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Process%20Ecology%20(ALL)/Emissions%20Management/ConocoPhillips/CETAC%20BMP%20Review/TEG%20Dehydration%20Unit%20BMP%20(Jan%2029,%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or Input"/>
      <sheetName val="Optimal Values"/>
      <sheetName val="WaterContentCalculation"/>
    </sheetNames>
    <sheetDataSet>
      <sheetData sheetId="0">
        <row r="2">
          <cell r="D2" t="str">
            <v>YES</v>
          </cell>
        </row>
        <row r="3">
          <cell r="D3" t="str">
            <v>NO</v>
          </cell>
        </row>
      </sheetData>
      <sheetData sheetId="1">
        <row r="2">
          <cell r="D2">
            <v>2</v>
          </cell>
        </row>
        <row r="3">
          <cell r="D3">
            <v>3</v>
          </cell>
        </row>
        <row r="4">
          <cell r="D4">
            <v>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A12" sqref="A12"/>
    </sheetView>
  </sheetViews>
  <sheetFormatPr defaultRowHeight="15" x14ac:dyDescent="0.25"/>
  <cols>
    <col min="1" max="1" width="111" customWidth="1"/>
  </cols>
  <sheetData>
    <row r="1" spans="1:1" ht="75" x14ac:dyDescent="0.25">
      <c r="A1" s="104" t="s">
        <v>151</v>
      </c>
    </row>
    <row r="2" spans="1:1" ht="45" x14ac:dyDescent="0.25">
      <c r="A2" s="104" t="s">
        <v>152</v>
      </c>
    </row>
  </sheetData>
  <sheetProtection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60"/>
  <sheetViews>
    <sheetView topLeftCell="A46" zoomScaleNormal="100" workbookViewId="0">
      <selection activeCell="A58" sqref="A58"/>
    </sheetView>
  </sheetViews>
  <sheetFormatPr defaultRowHeight="15" x14ac:dyDescent="0.25"/>
  <cols>
    <col min="1" max="1" width="98.42578125" customWidth="1"/>
  </cols>
  <sheetData>
    <row r="1" spans="1:1" x14ac:dyDescent="0.25">
      <c r="A1" s="23" t="s">
        <v>71</v>
      </c>
    </row>
    <row r="2" spans="1:1" x14ac:dyDescent="0.25">
      <c r="A2" s="20" t="s">
        <v>72</v>
      </c>
    </row>
    <row r="3" spans="1:1" s="3" customFormat="1" x14ac:dyDescent="0.25">
      <c r="A3" s="20"/>
    </row>
    <row r="4" spans="1:1" x14ac:dyDescent="0.25">
      <c r="A4" s="66" t="s">
        <v>95</v>
      </c>
    </row>
    <row r="5" spans="1:1" x14ac:dyDescent="0.25">
      <c r="A5" s="20" t="s">
        <v>129</v>
      </c>
    </row>
    <row r="6" spans="1:1" x14ac:dyDescent="0.25">
      <c r="A6" s="21" t="s">
        <v>73</v>
      </c>
    </row>
    <row r="7" spans="1:1" s="3" customFormat="1" x14ac:dyDescent="0.25">
      <c r="A7" s="21" t="s">
        <v>127</v>
      </c>
    </row>
    <row r="8" spans="1:1" s="3" customFormat="1" x14ac:dyDescent="0.25">
      <c r="A8" s="21" t="s">
        <v>128</v>
      </c>
    </row>
    <row r="9" spans="1:1" x14ac:dyDescent="0.25">
      <c r="A9" s="21" t="s">
        <v>144</v>
      </c>
    </row>
    <row r="10" spans="1:1" x14ac:dyDescent="0.25">
      <c r="A10" s="20"/>
    </row>
    <row r="11" spans="1:1" x14ac:dyDescent="0.25">
      <c r="A11" s="20" t="s">
        <v>145</v>
      </c>
    </row>
    <row r="12" spans="1:1" x14ac:dyDescent="0.25">
      <c r="A12" s="20"/>
    </row>
    <row r="13" spans="1:1" x14ac:dyDescent="0.25">
      <c r="A13" s="20" t="s">
        <v>87</v>
      </c>
    </row>
    <row r="14" spans="1:1" x14ac:dyDescent="0.25">
      <c r="A14" s="21" t="s">
        <v>146</v>
      </c>
    </row>
    <row r="15" spans="1:1" x14ac:dyDescent="0.25">
      <c r="A15" s="21" t="s">
        <v>147</v>
      </c>
    </row>
    <row r="16" spans="1:1" x14ac:dyDescent="0.25">
      <c r="A16" s="21" t="s">
        <v>148</v>
      </c>
    </row>
    <row r="17" spans="1:1" x14ac:dyDescent="0.25">
      <c r="A17" s="21" t="s">
        <v>149</v>
      </c>
    </row>
    <row r="18" spans="1:1" s="3" customFormat="1" x14ac:dyDescent="0.25">
      <c r="A18" s="21" t="s">
        <v>150</v>
      </c>
    </row>
    <row r="19" spans="1:1" x14ac:dyDescent="0.25">
      <c r="A19" s="20"/>
    </row>
    <row r="20" spans="1:1" ht="45" x14ac:dyDescent="0.25">
      <c r="A20" s="20" t="s">
        <v>91</v>
      </c>
    </row>
    <row r="21" spans="1:1" x14ac:dyDescent="0.25">
      <c r="A21" s="20"/>
    </row>
    <row r="22" spans="1:1" x14ac:dyDescent="0.25">
      <c r="A22" s="66" t="s">
        <v>74</v>
      </c>
    </row>
    <row r="23" spans="1:1" ht="30" x14ac:dyDescent="0.25">
      <c r="A23" s="20" t="s">
        <v>130</v>
      </c>
    </row>
    <row r="24" spans="1:1" x14ac:dyDescent="0.25">
      <c r="A24" s="20"/>
    </row>
    <row r="25" spans="1:1" ht="30" x14ac:dyDescent="0.25">
      <c r="A25" s="20" t="s">
        <v>131</v>
      </c>
    </row>
    <row r="26" spans="1:1" x14ac:dyDescent="0.25">
      <c r="A26" s="20"/>
    </row>
    <row r="27" spans="1:1" x14ac:dyDescent="0.25">
      <c r="A27" s="20"/>
    </row>
    <row r="28" spans="1:1" x14ac:dyDescent="0.25">
      <c r="A28" s="66" t="s">
        <v>75</v>
      </c>
    </row>
    <row r="29" spans="1:1" s="3" customFormat="1" ht="30" x14ac:dyDescent="0.25">
      <c r="A29" s="24" t="s">
        <v>132</v>
      </c>
    </row>
    <row r="30" spans="1:1" s="3" customFormat="1" x14ac:dyDescent="0.25">
      <c r="A30" s="22"/>
    </row>
    <row r="31" spans="1:1" ht="45" x14ac:dyDescent="0.25">
      <c r="A31" s="20" t="s">
        <v>133</v>
      </c>
    </row>
    <row r="32" spans="1:1" x14ac:dyDescent="0.25">
      <c r="A32" s="20"/>
    </row>
    <row r="33" spans="1:1" ht="30" x14ac:dyDescent="0.25">
      <c r="A33" s="20" t="s">
        <v>134</v>
      </c>
    </row>
    <row r="34" spans="1:1" x14ac:dyDescent="0.25">
      <c r="A34" s="20"/>
    </row>
    <row r="35" spans="1:1" ht="30" x14ac:dyDescent="0.25">
      <c r="A35" s="20" t="s">
        <v>135</v>
      </c>
    </row>
    <row r="36" spans="1:1" x14ac:dyDescent="0.25">
      <c r="A36" s="20"/>
    </row>
    <row r="37" spans="1:1" ht="30" x14ac:dyDescent="0.25">
      <c r="A37" s="20" t="s">
        <v>136</v>
      </c>
    </row>
    <row r="38" spans="1:1" x14ac:dyDescent="0.25">
      <c r="A38" s="20"/>
    </row>
    <row r="39" spans="1:1" ht="60" x14ac:dyDescent="0.25">
      <c r="A39" s="20" t="s">
        <v>137</v>
      </c>
    </row>
    <row r="40" spans="1:1" x14ac:dyDescent="0.25">
      <c r="A40" s="20"/>
    </row>
    <row r="41" spans="1:1" ht="30" x14ac:dyDescent="0.25">
      <c r="A41" s="20" t="s">
        <v>138</v>
      </c>
    </row>
    <row r="42" spans="1:1" x14ac:dyDescent="0.25">
      <c r="A42" s="20"/>
    </row>
    <row r="43" spans="1:1" ht="75" x14ac:dyDescent="0.25">
      <c r="A43" s="20" t="s">
        <v>139</v>
      </c>
    </row>
    <row r="44" spans="1:1" s="3" customFormat="1" x14ac:dyDescent="0.25">
      <c r="A44" s="20"/>
    </row>
    <row r="45" spans="1:1" ht="90" x14ac:dyDescent="0.25">
      <c r="A45" s="20" t="s">
        <v>140</v>
      </c>
    </row>
    <row r="46" spans="1:1" x14ac:dyDescent="0.25">
      <c r="A46" s="20"/>
    </row>
    <row r="47" spans="1:1" ht="120" x14ac:dyDescent="0.25">
      <c r="A47" s="20" t="s">
        <v>141</v>
      </c>
    </row>
    <row r="48" spans="1:1" s="3" customFormat="1" x14ac:dyDescent="0.25">
      <c r="A48" s="20"/>
    </row>
    <row r="49" spans="1:1" s="3" customFormat="1" ht="30" x14ac:dyDescent="0.25">
      <c r="A49" s="20" t="s">
        <v>86</v>
      </c>
    </row>
    <row r="50" spans="1:1" x14ac:dyDescent="0.25">
      <c r="A50" s="20"/>
    </row>
    <row r="51" spans="1:1" s="3" customFormat="1" x14ac:dyDescent="0.25">
      <c r="A51" s="20" t="s">
        <v>96</v>
      </c>
    </row>
    <row r="52" spans="1:1" s="3" customFormat="1" x14ac:dyDescent="0.25">
      <c r="A52" s="20"/>
    </row>
    <row r="53" spans="1:1" x14ac:dyDescent="0.25">
      <c r="A53" s="66" t="s">
        <v>88</v>
      </c>
    </row>
    <row r="54" spans="1:1" ht="105" x14ac:dyDescent="0.25">
      <c r="A54" s="20" t="s">
        <v>92</v>
      </c>
    </row>
    <row r="55" spans="1:1" x14ac:dyDescent="0.25">
      <c r="A55" s="20"/>
    </row>
    <row r="56" spans="1:1" x14ac:dyDescent="0.25">
      <c r="A56" s="66" t="s">
        <v>76</v>
      </c>
    </row>
    <row r="57" spans="1:1" x14ac:dyDescent="0.25">
      <c r="A57" s="20" t="s">
        <v>93</v>
      </c>
    </row>
    <row r="58" spans="1:1" ht="30" x14ac:dyDescent="0.25">
      <c r="A58" s="20" t="s">
        <v>94</v>
      </c>
    </row>
    <row r="59" spans="1:1" x14ac:dyDescent="0.25">
      <c r="A59" s="20" t="s">
        <v>77</v>
      </c>
    </row>
    <row r="60" spans="1:1" x14ac:dyDescent="0.25">
      <c r="A60" s="20" t="s">
        <v>89</v>
      </c>
    </row>
  </sheetData>
  <sheetProtection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L30"/>
  <sheetViews>
    <sheetView zoomScaleNormal="100" workbookViewId="0">
      <selection activeCell="C13" sqref="C13"/>
    </sheetView>
  </sheetViews>
  <sheetFormatPr defaultRowHeight="15" x14ac:dyDescent="0.25"/>
  <cols>
    <col min="1" max="1" width="34" customWidth="1"/>
    <col min="2" max="2" width="10.140625" customWidth="1"/>
    <col min="3" max="5" width="14.28515625" customWidth="1"/>
    <col min="6" max="6" width="10.7109375" bestFit="1" customWidth="1"/>
    <col min="8" max="8" width="16" bestFit="1" customWidth="1"/>
    <col min="9" max="9" width="5.5703125" bestFit="1" customWidth="1"/>
    <col min="10" max="10" width="8.85546875" bestFit="1" customWidth="1"/>
    <col min="11" max="11" width="7.140625" bestFit="1" customWidth="1"/>
    <col min="12" max="12" width="13.28515625" bestFit="1" customWidth="1"/>
  </cols>
  <sheetData>
    <row r="1" spans="1:12" ht="15.75" thickBot="1" x14ac:dyDescent="0.3">
      <c r="A1" s="25" t="s">
        <v>27</v>
      </c>
      <c r="B1" s="97" t="s">
        <v>142</v>
      </c>
      <c r="C1" s="98"/>
      <c r="D1" s="26" t="s">
        <v>29</v>
      </c>
      <c r="E1" s="79">
        <f ca="1">TODAY()</f>
        <v>42474</v>
      </c>
      <c r="F1" s="3"/>
      <c r="H1" s="71" t="s">
        <v>65</v>
      </c>
      <c r="I1" s="72"/>
      <c r="J1" s="72"/>
      <c r="K1" s="72"/>
      <c r="L1" s="73"/>
    </row>
    <row r="2" spans="1:12" ht="15.75" thickBot="1" x14ac:dyDescent="0.3">
      <c r="A2" s="88" t="s">
        <v>57</v>
      </c>
      <c r="B2" s="91"/>
      <c r="C2" s="89"/>
      <c r="D2" s="90"/>
      <c r="E2" s="92"/>
      <c r="F2" s="3"/>
      <c r="H2" s="40" t="s">
        <v>16</v>
      </c>
      <c r="I2" s="78">
        <v>942</v>
      </c>
      <c r="J2" s="67" t="s">
        <v>9</v>
      </c>
      <c r="K2" s="68">
        <f>I2*6.895</f>
        <v>6495.0899999999992</v>
      </c>
      <c r="L2" s="69" t="s">
        <v>8</v>
      </c>
    </row>
    <row r="3" spans="1:12" x14ac:dyDescent="0.25">
      <c r="A3" s="40" t="s">
        <v>97</v>
      </c>
      <c r="B3" s="32"/>
      <c r="C3" s="78">
        <v>6000</v>
      </c>
      <c r="D3" s="33" t="s">
        <v>18</v>
      </c>
      <c r="E3" s="34"/>
      <c r="F3" s="3"/>
      <c r="H3" s="60" t="s">
        <v>17</v>
      </c>
      <c r="I3" s="76">
        <v>30</v>
      </c>
      <c r="J3" s="4" t="s">
        <v>10</v>
      </c>
      <c r="K3" s="1">
        <f>I3*1.8+32</f>
        <v>86</v>
      </c>
      <c r="L3" s="70" t="s">
        <v>11</v>
      </c>
    </row>
    <row r="4" spans="1:12" ht="18" thickBot="1" x14ac:dyDescent="0.3">
      <c r="A4" s="60" t="s">
        <v>123</v>
      </c>
      <c r="B4" s="93"/>
      <c r="C4" s="76">
        <v>20</v>
      </c>
      <c r="D4" s="4" t="s">
        <v>124</v>
      </c>
      <c r="E4" s="35"/>
      <c r="H4" s="62" t="s">
        <v>14</v>
      </c>
      <c r="I4" s="80">
        <v>7.78</v>
      </c>
      <c r="J4" s="38" t="s">
        <v>15</v>
      </c>
      <c r="K4" s="37">
        <f>I4*28.3</f>
        <v>220.17400000000001</v>
      </c>
      <c r="L4" s="95" t="s">
        <v>69</v>
      </c>
    </row>
    <row r="5" spans="1:12" s="3" customFormat="1" x14ac:dyDescent="0.25">
      <c r="A5" s="60" t="s">
        <v>125</v>
      </c>
      <c r="B5" s="93"/>
      <c r="C5" s="76">
        <v>0.65</v>
      </c>
      <c r="D5" s="4"/>
      <c r="E5" s="35"/>
      <c r="H5"/>
      <c r="I5"/>
      <c r="J5"/>
      <c r="K5"/>
      <c r="L5"/>
    </row>
    <row r="6" spans="1:12" ht="17.25" x14ac:dyDescent="0.25">
      <c r="A6" s="60" t="s">
        <v>98</v>
      </c>
      <c r="B6" s="2"/>
      <c r="C6" s="76">
        <v>275</v>
      </c>
      <c r="D6" s="5" t="s">
        <v>69</v>
      </c>
      <c r="E6" s="35"/>
      <c r="F6" s="3"/>
    </row>
    <row r="7" spans="1:12" x14ac:dyDescent="0.25">
      <c r="A7" s="60" t="s">
        <v>126</v>
      </c>
      <c r="B7" s="2"/>
      <c r="C7" s="96">
        <f>WaterContentCalculation!C24</f>
        <v>28.505767385956929</v>
      </c>
      <c r="D7" s="4" t="s">
        <v>13</v>
      </c>
      <c r="E7" s="35"/>
    </row>
    <row r="8" spans="1:12" s="3" customFormat="1" x14ac:dyDescent="0.25">
      <c r="A8" s="60" t="s">
        <v>52</v>
      </c>
      <c r="B8" s="2"/>
      <c r="C8" s="76">
        <v>2.2000000000000002</v>
      </c>
      <c r="D8" s="4" t="s">
        <v>70</v>
      </c>
      <c r="E8" s="35"/>
    </row>
    <row r="9" spans="1:12" ht="15.75" thickBot="1" x14ac:dyDescent="0.3">
      <c r="A9" s="94" t="s">
        <v>68</v>
      </c>
      <c r="B9" s="36"/>
      <c r="C9" s="37">
        <f>IF(AND($C$6&gt;0,$C$7&gt;0), C6/28.3*(C7-4)*3/24/60, "--")</f>
        <v>0.49610468427106563</v>
      </c>
      <c r="D9" s="38" t="s">
        <v>1</v>
      </c>
      <c r="E9" s="39"/>
    </row>
    <row r="10" spans="1:12" ht="15.75" thickBot="1" x14ac:dyDescent="0.3">
      <c r="A10" s="3"/>
      <c r="B10" s="3"/>
      <c r="C10" s="3"/>
      <c r="D10" s="3"/>
      <c r="E10" s="3"/>
    </row>
    <row r="11" spans="1:12" ht="15.75" thickBot="1" x14ac:dyDescent="0.3">
      <c r="A11" s="27" t="s">
        <v>64</v>
      </c>
      <c r="B11" s="28"/>
      <c r="C11" s="29"/>
      <c r="D11" s="30"/>
      <c r="E11" s="31"/>
    </row>
    <row r="12" spans="1:12" x14ac:dyDescent="0.25">
      <c r="A12" s="40"/>
      <c r="B12" s="63" t="s">
        <v>4</v>
      </c>
      <c r="C12" s="63" t="s">
        <v>5</v>
      </c>
      <c r="D12" s="63" t="s">
        <v>6</v>
      </c>
      <c r="E12" s="64" t="s">
        <v>7</v>
      </c>
    </row>
    <row r="13" spans="1:12" x14ac:dyDescent="0.25">
      <c r="A13" s="41" t="s">
        <v>50</v>
      </c>
      <c r="B13" s="19"/>
      <c r="C13" s="74" t="s">
        <v>39</v>
      </c>
      <c r="D13" s="74" t="s">
        <v>38</v>
      </c>
      <c r="E13" s="75" t="s">
        <v>37</v>
      </c>
    </row>
    <row r="14" spans="1:12" x14ac:dyDescent="0.25">
      <c r="A14" s="41" t="s">
        <v>51</v>
      </c>
      <c r="B14" s="19" t="s">
        <v>0</v>
      </c>
      <c r="C14" s="76">
        <v>10</v>
      </c>
      <c r="D14" s="76">
        <v>13</v>
      </c>
      <c r="E14" s="77">
        <v>29</v>
      </c>
    </row>
    <row r="15" spans="1:12" x14ac:dyDescent="0.25">
      <c r="A15" s="41" t="s">
        <v>3</v>
      </c>
      <c r="B15" s="19" t="s">
        <v>1</v>
      </c>
      <c r="C15" s="15">
        <f>IF(AND(C13&gt;0,C14&gt;0),VLOOKUP(C13,'Lookup Tables'!$B$4:$E$17,4,FALSE)*C14,"--")</f>
        <v>1.1100000000000001</v>
      </c>
      <c r="D15" s="15">
        <f>IF(AND(D13&gt;0,D14&gt;0),VLOOKUP(D13,'Lookup Tables'!$B$4:$E$17,4,FALSE)*D14,"--")</f>
        <v>0.49399999999999999</v>
      </c>
      <c r="E15" s="42">
        <f>IF(AND(E13&gt;0,E14&gt;0),VLOOKUP(E13,'Lookup Tables'!$B$4:$E$17,4,FALSE)*E14,"--")</f>
        <v>0.49300000000000005</v>
      </c>
    </row>
    <row r="16" spans="1:12" s="3" customFormat="1" x14ac:dyDescent="0.25">
      <c r="A16" s="41" t="s">
        <v>28</v>
      </c>
      <c r="B16" s="19" t="s">
        <v>84</v>
      </c>
      <c r="C16" s="13">
        <f>IF(AND(C13&gt;0,C14&gt;0,$C$6&gt;0,$C$7&gt;0),C15*60*24/($C$6/28.3*($C$7-4)),"--")</f>
        <v>6.7122930010080859</v>
      </c>
      <c r="D16" s="13">
        <f>IF(AND(D13&gt;0,D14&gt;0,$C$6&gt;0,$C$7&gt;0),D15*60*24/($C$6/28.3*($C$7-4)),"--")</f>
        <v>2.9872727409891842</v>
      </c>
      <c r="E16" s="43">
        <f>IF(AND(E13&gt;0,E14&gt;0,$C$6&gt;0,$C$7&gt;0),E15*60*24/($C$6/28.3*($C$7-4)),"--")</f>
        <v>2.9812256301774656</v>
      </c>
    </row>
    <row r="17" spans="1:5" x14ac:dyDescent="0.25">
      <c r="A17" s="41" t="s">
        <v>90</v>
      </c>
      <c r="B17" s="19" t="s">
        <v>1</v>
      </c>
      <c r="C17" s="65" t="str">
        <f>IF(C13&gt;0,ROUND(VLOOKUP(C13,'Lookup Tables'!$B$4:$E$17,4,FALSE)*VLOOKUP(C13,'Lookup Tables'!$B$4:$E$17,2,FALSE),2),"--")&amp;" - "&amp;IF(C13&gt;0,ROUND(VLOOKUP(C13,'Lookup Tables'!$B$4:$E$17,4,FALSE)*VLOOKUP(C13,'Lookup Tables'!$B$4:$E$17,3,FALSE),2),"--")</f>
        <v>1.11 - 3.55</v>
      </c>
      <c r="D17" s="65" t="str">
        <f>IF(D13&gt;0,ROUND(VLOOKUP(D13,'Lookup Tables'!$B$4:$E$17,4,FALSE)*VLOOKUP(D13,'Lookup Tables'!$B$4:$E$17,2,FALSE),2),"--")&amp;" - "&amp;IF(D13&gt;0,ROUND(VLOOKUP(D13,'Lookup Tables'!$B$4:$E$17,4,FALSE)*VLOOKUP(D13,'Lookup Tables'!$B$4:$E$17,3,FALSE),2),"--")</f>
        <v>0.46 - 1.52</v>
      </c>
      <c r="E17" s="65" t="str">
        <f>IF(E13&gt;0,ROUND(VLOOKUP(E13,'Lookup Tables'!$B$4:$E$17,4,FALSE)*VLOOKUP(E13,'Lookup Tables'!$B$4:$E$17,2,FALSE),2),"--")&amp;" - "&amp;IF(E13&gt;0,ROUND(VLOOKUP(E13,'Lookup Tables'!$B$4:$E$17,4,FALSE)*VLOOKUP(E13,'Lookup Tables'!$B$4:$E$17,3,FALSE),2),"--")</f>
        <v>0.2 - 0.68</v>
      </c>
    </row>
    <row r="18" spans="1:5" ht="15.75" thickBot="1" x14ac:dyDescent="0.3">
      <c r="A18" s="45" t="s">
        <v>59</v>
      </c>
      <c r="B18" s="46" t="s">
        <v>12</v>
      </c>
      <c r="C18" s="47">
        <f>IF(AND(C13&gt;0,$C$6&gt;0,$C$7&gt;0),VLOOKUP(C13,'Lookup Tables'!$B$4:$E$17,4,FALSE)*VLOOKUP(C13,'Lookup Tables'!$B$4:$E$17,3,FALSE)/3/$C$7*60*24*28.3,"--")</f>
        <v>1692.6528357124687</v>
      </c>
      <c r="D18" s="47">
        <f>IF(AND(D13&gt;0,$C$6&gt;0,$C$7&gt;0),VLOOKUP(D13,'Lookup Tables'!$B$4:$E$17,4,FALSE)*VLOOKUP(D13,'Lookup Tables'!$B$4:$E$17,3,FALSE)/3/$C$7*60*24*28.3,"--")</f>
        <v>724.33342068776824</v>
      </c>
      <c r="E18" s="48">
        <f>IF(AND(E13&gt;0,$C$6&gt;0,$C$7&gt;0),VLOOKUP(E13,'Lookup Tables'!$B$4:$E$17,4,FALSE)*VLOOKUP(E13,'Lookup Tables'!$B$4:$E$17,3,FALSE)/3/$C$7*60*24*28.3,"--")</f>
        <v>324.04389872873844</v>
      </c>
    </row>
    <row r="19" spans="1:5" s="3" customFormat="1" ht="15.75" thickBot="1" x14ac:dyDescent="0.3">
      <c r="A19" s="27" t="s">
        <v>61</v>
      </c>
      <c r="B19" s="49"/>
      <c r="C19" s="50"/>
      <c r="D19" s="50"/>
      <c r="E19" s="31"/>
    </row>
    <row r="20" spans="1:5" x14ac:dyDescent="0.25">
      <c r="A20" s="51" t="s">
        <v>49</v>
      </c>
      <c r="B20" s="52" t="s">
        <v>24</v>
      </c>
      <c r="C20" s="53">
        <f>IF(AND($C$3&gt;0,C13&gt;0,C14&gt;0),IF(RIGHT(C13,1)="V",TREND('Lookup Tables'!$H$4:$H$16,'Lookup Tables'!$G$4:$G$16,($C$3/6.895),FALSE),TREND('Lookup Tables'!K4:K7,'Lookup Tables'!J4:J7,($C$3/6.895),FALSE))*C15*60*24/1000,"--")</f>
        <v>7.762127317512836</v>
      </c>
      <c r="D20" s="53">
        <f>IF(AND($C$3&gt;0,D13&gt;0,D14&gt;0),IF(RIGHT(D13,1)="V",TREND('Lookup Tables'!$H$4:$H$16,'Lookup Tables'!$G$4:$G$16,($C$3/6.895),FALSE),TREND('Lookup Tables'!L4:L7,'Lookup Tables'!K4:K7,($C$3/6.895),FALSE))*D15*60*24/1000,"--")</f>
        <v>3.4544963016678749</v>
      </c>
      <c r="E20" s="54">
        <f>IF(AND($C$3&gt;0,E13&gt;0,E14&gt;0),IF(RIGHT(E13,1)="V",TREND('Lookup Tables'!$H$4:$H$16,'Lookup Tables'!$G$4:$G$16,($C$3/6.895),FALSE),TREND('Lookup Tables'!M4:M7,'Lookup Tables'!L4:L7,($C$3/6.895),FALSE))*E15*60*24/1000,"--")</f>
        <v>3.4475033941746203</v>
      </c>
    </row>
    <row r="21" spans="1:5" x14ac:dyDescent="0.25">
      <c r="A21" s="41" t="s">
        <v>56</v>
      </c>
      <c r="B21" s="19" t="s">
        <v>24</v>
      </c>
      <c r="C21" s="16">
        <f>IF(AND(C13&gt;0,C14&gt;0),C15*0.001*60*24,"--")</f>
        <v>1.5984000000000003</v>
      </c>
      <c r="D21" s="16">
        <f>IF(AND(D13&gt;0,D14&gt;0),D15*0.001*60*24,"--")</f>
        <v>0.71135999999999999</v>
      </c>
      <c r="E21" s="44">
        <f>IF(AND(E13&gt;0,E14&gt;0),E15*0.001*60*24,"--")</f>
        <v>0.70992000000000011</v>
      </c>
    </row>
    <row r="22" spans="1:5" x14ac:dyDescent="0.25">
      <c r="A22" s="41" t="s">
        <v>58</v>
      </c>
      <c r="B22" s="19" t="s">
        <v>24</v>
      </c>
      <c r="C22" s="16">
        <f>IF(AND(C13&gt;0,C14&gt;0),C15*2*60*24/1000,"--")</f>
        <v>3.1968000000000001</v>
      </c>
      <c r="D22" s="16">
        <f>IF(AND(D13&gt;0,D14&gt;0),D15*2*60*24/1000,"--")</f>
        <v>1.42272</v>
      </c>
      <c r="E22" s="44">
        <f>IF(AND(E13&gt;0,E14&gt;0),E15*2*60*24/1000,"--")</f>
        <v>1.4198400000000002</v>
      </c>
    </row>
    <row r="23" spans="1:5" s="3" customFormat="1" x14ac:dyDescent="0.25">
      <c r="A23" s="41" t="s">
        <v>60</v>
      </c>
      <c r="B23" s="19" t="s">
        <v>67</v>
      </c>
      <c r="C23" s="17">
        <f>IF(AND(C13&gt;0,C14&gt;0),SUM(C20:C21)*365*16.04*1.19804/1000*25+C22*1.19804*44.01*365/1000,"--")</f>
        <v>1702.90107309731</v>
      </c>
      <c r="D23" s="17">
        <f>IF(AND(D13&gt;0,D14&gt;0),SUM(D20:D21)*365*16.04*1.19804/1000*25+D22*1.19804*44.01*365/1000,"--")</f>
        <v>757.86768478384772</v>
      </c>
      <c r="E23" s="55">
        <f>IF(AND(E13&gt;0,E14&gt;0),SUM(E20:E21)*365*16.04*1.19804/1000*25+E22*1.19804*44.01*365/1000,"--")</f>
        <v>756.33353967294943</v>
      </c>
    </row>
    <row r="24" spans="1:5" ht="15.75" thickBot="1" x14ac:dyDescent="0.3">
      <c r="A24" s="45" t="s">
        <v>85</v>
      </c>
      <c r="B24" s="46" t="s">
        <v>67</v>
      </c>
      <c r="C24" s="56" t="s">
        <v>22</v>
      </c>
      <c r="D24" s="47">
        <f>IF(AND(C23&gt;0, D23&gt;0), C23-D23, "--")</f>
        <v>945.0333883134623</v>
      </c>
      <c r="E24" s="48">
        <f>IF(AND(C23&gt;0, E23&gt;0), C23-E23, "--")</f>
        <v>946.56753342436059</v>
      </c>
    </row>
    <row r="25" spans="1:5" ht="15.75" thickBot="1" x14ac:dyDescent="0.3">
      <c r="A25" s="27" t="s">
        <v>62</v>
      </c>
      <c r="B25" s="57"/>
      <c r="C25" s="58"/>
      <c r="D25" s="58"/>
      <c r="E25" s="59"/>
    </row>
    <row r="26" spans="1:5" s="3" customFormat="1" x14ac:dyDescent="0.25">
      <c r="A26" s="40" t="s">
        <v>23</v>
      </c>
      <c r="B26" s="52" t="s">
        <v>66</v>
      </c>
      <c r="C26" s="52" t="s">
        <v>22</v>
      </c>
      <c r="D26" s="78">
        <v>5000</v>
      </c>
      <c r="E26" s="81">
        <v>5000</v>
      </c>
    </row>
    <row r="27" spans="1:5" x14ac:dyDescent="0.25">
      <c r="A27" s="60" t="s">
        <v>20</v>
      </c>
      <c r="B27" s="19" t="s">
        <v>21</v>
      </c>
      <c r="C27" s="19" t="s">
        <v>22</v>
      </c>
      <c r="D27" s="18">
        <f>IF(AND($C$13&gt;0,$C$14&gt;0,D13&gt;0,D14&gt;0),(SUM($C$20:$C$22)-SUM(D20:D22))*365*$C$8*1.055,"--")</f>
        <v>5903.6819543382981</v>
      </c>
      <c r="E27" s="61">
        <f>IF(AND($C$13&gt;0,$C$14&gt;0,E13&gt;0,E14&gt;0),(SUM($C$20:$C$22)-SUM(E20:E22))*365*$C$8*1.055,"--")</f>
        <v>5913.2658536148192</v>
      </c>
    </row>
    <row r="28" spans="1:5" ht="15.75" thickBot="1" x14ac:dyDescent="0.3">
      <c r="A28" s="62" t="s">
        <v>25</v>
      </c>
      <c r="B28" s="46" t="s">
        <v>26</v>
      </c>
      <c r="C28" s="46" t="s">
        <v>22</v>
      </c>
      <c r="D28" s="47">
        <f>IF(AND(C8&gt;0,D26&gt;0,D27&lt;&gt;"--"),D26/D27*12,"--")</f>
        <v>10.163149110007396</v>
      </c>
      <c r="E28" s="48">
        <f>IF(AND(D8&gt;0,E26&gt;0,E27&lt;&gt;"--"),E26/E27*12,"--")</f>
        <v>10.146677231385022</v>
      </c>
    </row>
    <row r="29" spans="1:5" s="3" customFormat="1" ht="15.75" thickBot="1" x14ac:dyDescent="0.3">
      <c r="A29" s="102" t="s">
        <v>63</v>
      </c>
      <c r="B29" s="103"/>
      <c r="C29" s="50"/>
      <c r="D29" s="50"/>
      <c r="E29" s="31"/>
    </row>
    <row r="30" spans="1:5" ht="195.75" customHeight="1" thickBot="1" x14ac:dyDescent="0.3">
      <c r="A30" s="99" t="s">
        <v>143</v>
      </c>
      <c r="B30" s="100"/>
      <c r="C30" s="100"/>
      <c r="D30" s="100"/>
      <c r="E30" s="101"/>
    </row>
  </sheetData>
  <sheetProtection sheet="1" objects="1" scenarios="1" selectLockedCells="1"/>
  <mergeCells count="3">
    <mergeCell ref="B1:C1"/>
    <mergeCell ref="A30:E30"/>
    <mergeCell ref="A29:B29"/>
  </mergeCells>
  <conditionalFormatting sqref="C16:E17">
    <cfRule type="colorScale" priority="2">
      <colorScale>
        <cfvo type="num" val="0"/>
        <cfvo type="num" val="3"/>
        <cfvo type="num" val="5"/>
        <color rgb="FF00B0F0"/>
        <color rgb="FFFFFFFF"/>
        <color rgb="FFFF0000"/>
      </colorScale>
    </cfRule>
  </conditionalFormatting>
  <pageMargins left="0.7" right="0.7" top="0.75" bottom="0.75" header="0.3" footer="0.3"/>
  <pageSetup orientation="portrait" horizontalDpi="0" verticalDpi="0" r:id="rId1"/>
  <colBreaks count="1" manualBreakCount="1">
    <brk id="5" max="31" man="1"/>
  </colBreaks>
  <legacyDrawing r:id="rId2"/>
  <extLst>
    <ext xmlns:x14="http://schemas.microsoft.com/office/spreadsheetml/2009/9/main" uri="{78C0D931-6437-407d-A8EE-F0AAD7539E65}">
      <x14:conditionalFormattings>
        <x14:conditionalFormatting xmlns:xm="http://schemas.microsoft.com/office/excel/2006/main">
          <x14:cfRule type="expression" priority="5" id="{AEE0B1EF-D686-4E6A-8314-E727DF3BFA11}">
            <xm:f>OR(C14&lt;VLOOKUP(C13,'Lookup Tables'!$B$4:$E$17,2,FALSE),C14&gt;VLOOKUP(C13,'Lookup Tables'!$B$4:$E$17,3,FALSE))</xm:f>
            <x14:dxf>
              <font>
                <color rgb="FFFF0000"/>
              </font>
              <fill>
                <patternFill patternType="solid">
                  <bgColor rgb="FFFFFFCC"/>
                </patternFill>
              </fill>
            </x14:dxf>
          </x14:cfRule>
          <xm:sqref>C14</xm:sqref>
        </x14:conditionalFormatting>
        <x14:conditionalFormatting xmlns:xm="http://schemas.microsoft.com/office/excel/2006/main">
          <x14:cfRule type="expression" priority="4" id="{ACAB0096-3B49-4F92-B6FE-2760C9407B52}">
            <xm:f>OR(D14&lt;VLOOKUP(D13,'Lookup Tables'!$B$4:$E$17,2,FALSE),D14&gt;VLOOKUP(D13,'Lookup Tables'!$B$4:$E$17,3,FALSE))</xm:f>
            <x14:dxf>
              <font>
                <color rgb="FFFF0000"/>
              </font>
            </x14:dxf>
          </x14:cfRule>
          <xm:sqref>D14</xm:sqref>
        </x14:conditionalFormatting>
        <x14:conditionalFormatting xmlns:xm="http://schemas.microsoft.com/office/excel/2006/main">
          <x14:cfRule type="expression" priority="1" id="{72EFD38C-5052-42D5-96E4-824650A1C8A7}">
            <xm:f>OR(E14&lt;VLOOKUP(E13,'Lookup Tables'!$B$4:$E$17,2,FALSE),E14&gt;VLOOKUP(E13,'Lookup Tables'!$B$4:$E$17,3,FALSE))</xm:f>
            <x14:dxf>
              <font>
                <color rgb="FFFF0000"/>
              </font>
            </x14:dxf>
          </x14:cfRule>
          <xm:sqref>E14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Tables'!$B$4:$B$17</xm:f>
          </x14:formula1>
          <xm:sqref>C13:E13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2:K34"/>
  <sheetViews>
    <sheetView zoomScaleNormal="100" workbookViewId="0">
      <selection activeCell="B3" sqref="B3"/>
    </sheetView>
  </sheetViews>
  <sheetFormatPr defaultRowHeight="15" x14ac:dyDescent="0.25"/>
  <cols>
    <col min="2" max="2" width="12" customWidth="1"/>
    <col min="3" max="3" width="9.28515625" customWidth="1"/>
    <col min="4" max="4" width="8.5703125" bestFit="1" customWidth="1"/>
    <col min="5" max="5" width="11.140625" customWidth="1"/>
    <col min="6" max="6" width="3.140625" customWidth="1"/>
    <col min="8" max="8" width="10.28515625" customWidth="1"/>
    <col min="9" max="9" width="3" customWidth="1"/>
    <col min="10" max="10" width="15.28515625" bestFit="1" customWidth="1"/>
    <col min="11" max="11" width="7.85546875" bestFit="1" customWidth="1"/>
  </cols>
  <sheetData>
    <row r="2" spans="2:11" x14ac:dyDescent="0.25">
      <c r="B2" s="14" t="s">
        <v>102</v>
      </c>
      <c r="C2" s="11"/>
      <c r="D2" s="11"/>
      <c r="E2" s="12"/>
      <c r="G2" s="14" t="s">
        <v>47</v>
      </c>
      <c r="H2" s="12"/>
      <c r="J2" s="14" t="s">
        <v>48</v>
      </c>
      <c r="K2" s="12"/>
    </row>
    <row r="3" spans="2:11" ht="30" x14ac:dyDescent="0.25">
      <c r="B3" s="7" t="s">
        <v>2</v>
      </c>
      <c r="C3" s="8" t="s">
        <v>53</v>
      </c>
      <c r="D3" s="9" t="s">
        <v>54</v>
      </c>
      <c r="E3" s="7" t="s">
        <v>30</v>
      </c>
      <c r="F3" s="10"/>
      <c r="G3" s="9" t="s">
        <v>55</v>
      </c>
      <c r="H3" s="9" t="s">
        <v>19</v>
      </c>
      <c r="I3" s="10"/>
      <c r="J3" s="9" t="s">
        <v>55</v>
      </c>
      <c r="K3" s="9" t="s">
        <v>19</v>
      </c>
    </row>
    <row r="4" spans="2:11" s="3" customFormat="1" x14ac:dyDescent="0.25">
      <c r="B4" s="4" t="s">
        <v>35</v>
      </c>
      <c r="C4" s="4">
        <v>12</v>
      </c>
      <c r="D4" s="4">
        <v>40</v>
      </c>
      <c r="E4" s="4">
        <v>1.7000000000000001E-2</v>
      </c>
      <c r="G4" s="4">
        <v>300</v>
      </c>
      <c r="H4" s="4">
        <v>1.7</v>
      </c>
      <c r="J4" s="4">
        <v>100</v>
      </c>
      <c r="K4" s="4">
        <v>1.7</v>
      </c>
    </row>
    <row r="5" spans="2:11" x14ac:dyDescent="0.25">
      <c r="B5" s="4" t="s">
        <v>36</v>
      </c>
      <c r="C5" s="4">
        <v>12</v>
      </c>
      <c r="D5" s="4">
        <v>40</v>
      </c>
      <c r="E5" s="4">
        <v>1.7000000000000001E-2</v>
      </c>
      <c r="G5" s="4">
        <v>400</v>
      </c>
      <c r="H5" s="4">
        <v>2.2999999999999998</v>
      </c>
      <c r="J5" s="4">
        <v>200</v>
      </c>
      <c r="K5" s="4">
        <v>2.2999999999999998</v>
      </c>
    </row>
    <row r="6" spans="2:11" s="3" customFormat="1" x14ac:dyDescent="0.25">
      <c r="B6" s="4" t="s">
        <v>31</v>
      </c>
      <c r="C6" s="4">
        <v>12</v>
      </c>
      <c r="D6" s="4">
        <v>40</v>
      </c>
      <c r="E6" s="4">
        <v>1.7000000000000001E-2</v>
      </c>
      <c r="G6" s="4">
        <v>500</v>
      </c>
      <c r="H6" s="4">
        <v>2.8</v>
      </c>
      <c r="J6" s="4">
        <v>300</v>
      </c>
      <c r="K6" s="4">
        <v>2.8</v>
      </c>
    </row>
    <row r="7" spans="2:11" x14ac:dyDescent="0.25">
      <c r="B7" s="4" t="s">
        <v>37</v>
      </c>
      <c r="C7" s="4">
        <v>12</v>
      </c>
      <c r="D7" s="4">
        <v>40</v>
      </c>
      <c r="E7" s="4">
        <v>1.7000000000000001E-2</v>
      </c>
      <c r="G7" s="4">
        <v>600</v>
      </c>
      <c r="H7" s="4">
        <v>3.4</v>
      </c>
      <c r="J7" s="4">
        <v>400</v>
      </c>
      <c r="K7" s="4">
        <v>3.4</v>
      </c>
    </row>
    <row r="8" spans="2:11" s="3" customFormat="1" x14ac:dyDescent="0.25">
      <c r="B8" s="4" t="s">
        <v>32</v>
      </c>
      <c r="C8" s="4">
        <v>12</v>
      </c>
      <c r="D8" s="4">
        <v>40</v>
      </c>
      <c r="E8" s="4">
        <v>3.7999999999999999E-2</v>
      </c>
      <c r="G8" s="4">
        <v>700</v>
      </c>
      <c r="H8" s="4">
        <v>3.9</v>
      </c>
    </row>
    <row r="9" spans="2:11" x14ac:dyDescent="0.25">
      <c r="B9" s="4" t="s">
        <v>38</v>
      </c>
      <c r="C9" s="4">
        <v>12</v>
      </c>
      <c r="D9" s="4">
        <v>40</v>
      </c>
      <c r="E9" s="4">
        <v>3.7999999999999999E-2</v>
      </c>
      <c r="G9" s="4">
        <v>800</v>
      </c>
      <c r="H9" s="4">
        <v>4.5</v>
      </c>
    </row>
    <row r="10" spans="2:11" s="3" customFormat="1" x14ac:dyDescent="0.25">
      <c r="B10" s="4" t="s">
        <v>39</v>
      </c>
      <c r="C10" s="4">
        <v>10</v>
      </c>
      <c r="D10" s="4">
        <v>32</v>
      </c>
      <c r="E10" s="4">
        <v>0.111</v>
      </c>
      <c r="G10" s="4">
        <v>900</v>
      </c>
      <c r="H10" s="4">
        <v>5</v>
      </c>
    </row>
    <row r="11" spans="2:11" x14ac:dyDescent="0.25">
      <c r="B11" s="4" t="s">
        <v>40</v>
      </c>
      <c r="C11" s="4">
        <v>10</v>
      </c>
      <c r="D11" s="4">
        <v>32</v>
      </c>
      <c r="E11" s="4">
        <v>0.111</v>
      </c>
      <c r="G11" s="4">
        <v>1000</v>
      </c>
      <c r="H11" s="4">
        <v>5.6</v>
      </c>
    </row>
    <row r="12" spans="2:11" s="3" customFormat="1" x14ac:dyDescent="0.25">
      <c r="B12" s="4" t="s">
        <v>41</v>
      </c>
      <c r="C12" s="4">
        <v>10</v>
      </c>
      <c r="D12" s="4">
        <v>28</v>
      </c>
      <c r="E12" s="4">
        <v>0.28299999999999997</v>
      </c>
      <c r="G12" s="4">
        <v>1100</v>
      </c>
      <c r="H12" s="4">
        <v>6.1</v>
      </c>
    </row>
    <row r="13" spans="2:11" x14ac:dyDescent="0.25">
      <c r="B13" s="4" t="s">
        <v>42</v>
      </c>
      <c r="C13" s="4">
        <v>10</v>
      </c>
      <c r="D13" s="4">
        <v>28</v>
      </c>
      <c r="E13" s="4">
        <v>0.28299999999999997</v>
      </c>
      <c r="G13" s="4">
        <v>1200</v>
      </c>
      <c r="H13" s="4">
        <v>6.7</v>
      </c>
    </row>
    <row r="14" spans="2:11" x14ac:dyDescent="0.25">
      <c r="B14" s="4" t="s">
        <v>43</v>
      </c>
      <c r="C14" s="4">
        <v>5</v>
      </c>
      <c r="D14" s="4">
        <v>55</v>
      </c>
      <c r="E14" s="4">
        <v>6.7999999999999996E-3</v>
      </c>
      <c r="G14" s="4">
        <v>1300</v>
      </c>
      <c r="H14" s="4">
        <v>7.2</v>
      </c>
    </row>
    <row r="15" spans="2:11" x14ac:dyDescent="0.25">
      <c r="B15" s="4" t="s">
        <v>44</v>
      </c>
      <c r="C15" s="4">
        <v>10</v>
      </c>
      <c r="D15" s="4">
        <v>50</v>
      </c>
      <c r="E15" s="4">
        <v>1.9E-2</v>
      </c>
      <c r="G15" s="4">
        <v>1400</v>
      </c>
      <c r="H15" s="4">
        <v>7.9</v>
      </c>
    </row>
    <row r="16" spans="2:11" x14ac:dyDescent="0.25">
      <c r="B16" s="4" t="s">
        <v>45</v>
      </c>
      <c r="C16" s="4">
        <v>10</v>
      </c>
      <c r="D16" s="4">
        <v>48</v>
      </c>
      <c r="E16" s="4">
        <v>0.04</v>
      </c>
      <c r="G16" s="4">
        <v>1500</v>
      </c>
      <c r="H16" s="4">
        <v>8.3000000000000007</v>
      </c>
    </row>
    <row r="17" spans="2:5" x14ac:dyDescent="0.25">
      <c r="B17" s="4" t="s">
        <v>46</v>
      </c>
      <c r="C17" s="4">
        <v>10</v>
      </c>
      <c r="D17" s="4">
        <v>40</v>
      </c>
      <c r="E17" s="4">
        <v>0.114</v>
      </c>
    </row>
    <row r="19" spans="2:5" x14ac:dyDescent="0.25">
      <c r="B19" t="s">
        <v>33</v>
      </c>
    </row>
    <row r="20" spans="2:5" x14ac:dyDescent="0.25">
      <c r="B20" t="s">
        <v>34</v>
      </c>
    </row>
    <row r="21" spans="2:5" s="3" customFormat="1" x14ac:dyDescent="0.25"/>
    <row r="22" spans="2:5" x14ac:dyDescent="0.25">
      <c r="B22" t="s">
        <v>80</v>
      </c>
    </row>
    <row r="23" spans="2:5" x14ac:dyDescent="0.25">
      <c r="B23" t="s">
        <v>99</v>
      </c>
    </row>
    <row r="24" spans="2:5" x14ac:dyDescent="0.25">
      <c r="B24" t="s">
        <v>81</v>
      </c>
    </row>
    <row r="25" spans="2:5" s="3" customFormat="1" x14ac:dyDescent="0.25">
      <c r="B25" s="3" t="s">
        <v>100</v>
      </c>
    </row>
    <row r="27" spans="2:5" x14ac:dyDescent="0.25">
      <c r="B27" t="s">
        <v>82</v>
      </c>
    </row>
    <row r="28" spans="2:5" s="3" customFormat="1" x14ac:dyDescent="0.25">
      <c r="B28" s="3" t="s">
        <v>83</v>
      </c>
    </row>
    <row r="29" spans="2:5" s="3" customFormat="1" x14ac:dyDescent="0.25"/>
    <row r="30" spans="2:5" x14ac:dyDescent="0.25">
      <c r="B30" t="s">
        <v>78</v>
      </c>
    </row>
    <row r="31" spans="2:5" x14ac:dyDescent="0.25">
      <c r="B31" t="s">
        <v>79</v>
      </c>
    </row>
    <row r="32" spans="2:5" x14ac:dyDescent="0.25">
      <c r="B32" t="s">
        <v>101</v>
      </c>
    </row>
    <row r="34" spans="3:3" x14ac:dyDescent="0.25">
      <c r="C34" s="6"/>
    </row>
  </sheetData>
  <sheetProtection sheet="1" objects="1" scenarios="1" selectLockedCells="1" selectUnlockedCells="1"/>
  <pageMargins left="0.7" right="0.7" top="0.75" bottom="0.75" header="0.3" footer="0.3"/>
  <pageSetup scale="82" orientation="portrait" horizontalDpi="0" verticalDpi="0" r:id="rId1"/>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4"/>
  <sheetViews>
    <sheetView workbookViewId="0">
      <selection activeCell="E39" sqref="E39"/>
    </sheetView>
  </sheetViews>
  <sheetFormatPr defaultRowHeight="15" x14ac:dyDescent="0.25"/>
  <cols>
    <col min="1" max="1" width="9.140625" style="3"/>
    <col min="2" max="2" width="24.28515625" style="3" customWidth="1"/>
    <col min="3" max="3" width="10.5703125" style="3" customWidth="1"/>
    <col min="4" max="16384" width="9.140625" style="3"/>
  </cols>
  <sheetData>
    <row r="1" spans="2:3" x14ac:dyDescent="0.25">
      <c r="B1" s="82" t="s">
        <v>103</v>
      </c>
    </row>
    <row r="2" spans="2:3" x14ac:dyDescent="0.25">
      <c r="B2" s="82" t="s">
        <v>104</v>
      </c>
    </row>
    <row r="3" spans="2:3" ht="15.75" thickBot="1" x14ac:dyDescent="0.3">
      <c r="B3" s="82"/>
    </row>
    <row r="4" spans="2:3" x14ac:dyDescent="0.25">
      <c r="B4" s="83" t="s">
        <v>105</v>
      </c>
    </row>
    <row r="5" spans="2:3" x14ac:dyDescent="0.25">
      <c r="B5" s="84" t="s">
        <v>106</v>
      </c>
      <c r="C5" s="84">
        <f>C24</f>
        <v>28.505767385956929</v>
      </c>
    </row>
    <row r="6" spans="2:3" ht="15.75" thickBot="1" x14ac:dyDescent="0.3"/>
    <row r="7" spans="2:3" x14ac:dyDescent="0.25">
      <c r="B7" s="83" t="s">
        <v>107</v>
      </c>
    </row>
    <row r="8" spans="2:3" x14ac:dyDescent="0.25">
      <c r="B8" s="84" t="s">
        <v>108</v>
      </c>
      <c r="C8" s="5">
        <f>'Glycol (TEG) Rate Optimization'!C4</f>
        <v>20</v>
      </c>
    </row>
    <row r="9" spans="2:3" x14ac:dyDescent="0.25">
      <c r="B9" s="84" t="s">
        <v>109</v>
      </c>
      <c r="C9" s="87">
        <f>'Glycol (TEG) Rate Optimization'!C3</f>
        <v>6000</v>
      </c>
    </row>
    <row r="10" spans="2:3" x14ac:dyDescent="0.25">
      <c r="B10" s="84" t="s">
        <v>110</v>
      </c>
      <c r="C10" s="4">
        <f>'Glycol (TEG) Rate Optimization'!C5</f>
        <v>0.65</v>
      </c>
    </row>
    <row r="12" spans="2:3" ht="15.75" thickBot="1" x14ac:dyDescent="0.3"/>
    <row r="13" spans="2:3" x14ac:dyDescent="0.25">
      <c r="B13" s="83" t="s">
        <v>111</v>
      </c>
    </row>
    <row r="14" spans="2:3" x14ac:dyDescent="0.25">
      <c r="B14" s="84" t="s">
        <v>112</v>
      </c>
      <c r="C14" s="85">
        <f>C8*9/5+32</f>
        <v>68</v>
      </c>
    </row>
    <row r="15" spans="2:3" x14ac:dyDescent="0.25">
      <c r="B15" s="84" t="s">
        <v>113</v>
      </c>
      <c r="C15" s="85">
        <f>C8+273.15</f>
        <v>293.14999999999998</v>
      </c>
    </row>
    <row r="16" spans="2:3" x14ac:dyDescent="0.25">
      <c r="B16" s="84" t="s">
        <v>114</v>
      </c>
      <c r="C16" s="86">
        <f>(C9+101.325)*0.145</f>
        <v>884.69212499999992</v>
      </c>
    </row>
    <row r="17" spans="2:4" x14ac:dyDescent="0.25">
      <c r="B17" s="84" t="s">
        <v>115</v>
      </c>
      <c r="C17" s="86">
        <f>1-C15/647.096</f>
        <v>0.54697602828637493</v>
      </c>
    </row>
    <row r="18" spans="2:4" x14ac:dyDescent="0.25">
      <c r="B18" s="84" t="s">
        <v>116</v>
      </c>
      <c r="C18" s="86">
        <f>0.1450377*22064*EXP(647.096/(C15)*(-7.85951783*C17+1.84408259*C17^1.5-11.7866479*C17^3+22.6807411*C17^3.5-15.9618719*C17^4+1.80122502*C17^7.5))</f>
        <v>0.33927150001311901</v>
      </c>
    </row>
    <row r="19" spans="2:4" x14ac:dyDescent="0.25">
      <c r="B19" s="84" t="s">
        <v>117</v>
      </c>
      <c r="C19" s="86">
        <f>0.99187-0.000033501*(C9+101.325)+0.00069652*C8+0.00000000063134*(C9+101.325)*(C9+101.325)-0.0000086023*C8*C8+0.0000002329*(C9+101.325)*C8</f>
        <v>0.84988133114449638</v>
      </c>
      <c r="D19" s="3" t="s">
        <v>118</v>
      </c>
    </row>
    <row r="20" spans="2:4" x14ac:dyDescent="0.25">
      <c r="B20" s="84" t="s">
        <v>119</v>
      </c>
      <c r="C20" s="86">
        <f>28.9625*C10</f>
        <v>18.825624999999999</v>
      </c>
    </row>
    <row r="21" spans="2:4" x14ac:dyDescent="0.25">
      <c r="B21" s="84" t="s">
        <v>120</v>
      </c>
      <c r="C21" s="86">
        <f>C18*18*1000000*14.7/(10.73*(459.6+60)*C19)</f>
        <v>18945.67421285218</v>
      </c>
    </row>
    <row r="22" spans="2:4" x14ac:dyDescent="0.25">
      <c r="B22" s="84" t="s">
        <v>121</v>
      </c>
      <c r="C22" s="86">
        <f>-3083.87/((C8*1.8+32)+460)+6.6944</f>
        <v>0.85373712121212098</v>
      </c>
    </row>
    <row r="23" spans="2:4" x14ac:dyDescent="0.25">
      <c r="B23" s="84" t="s">
        <v>122</v>
      </c>
      <c r="C23" s="86">
        <f>1+(C10-0.55)/(15500*C10*C14^-1.446-(18300)*C14^-1.288)</f>
        <v>0.99825380531162511</v>
      </c>
    </row>
    <row r="24" spans="2:4" x14ac:dyDescent="0.25">
      <c r="B24" s="84" t="s">
        <v>106</v>
      </c>
      <c r="C24" s="86">
        <f>(C21/C16+10^C22)*C23</f>
        <v>28.505767385956929</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Disclaimer</vt:lpstr>
      <vt:lpstr>User Guide</vt:lpstr>
      <vt:lpstr>Glycol (TEG) Rate Optimization</vt:lpstr>
      <vt:lpstr>Lookup Tables</vt:lpstr>
      <vt:lpstr>WaterContentCalculation</vt:lpstr>
      <vt:lpstr>'Glycol (TEG) Rate Optimization'!Print_Area</vt:lpstr>
      <vt:lpstr>'Lookup Tables'!Print_Area</vt:lpstr>
    </vt:vector>
  </TitlesOfParts>
  <Company>For Internal Use Only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Samantha D</dc:creator>
  <cp:lastModifiedBy>James Holoboff</cp:lastModifiedBy>
  <cp:lastPrinted>2016-01-22T19:58:45Z</cp:lastPrinted>
  <dcterms:created xsi:type="dcterms:W3CDTF">2015-05-12T22:12:13Z</dcterms:created>
  <dcterms:modified xsi:type="dcterms:W3CDTF">2016-04-14T21:07:22Z</dcterms:modified>
</cp:coreProperties>
</file>